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clair\Documents\1-cle gros minet\Billiet\2026 2027\"/>
    </mc:Choice>
  </mc:AlternateContent>
  <xr:revisionPtr revIDLastSave="0" documentId="8_{B0344A70-16D7-4447-9707-E92D47E46FB1}" xr6:coauthVersionLast="47" xr6:coauthVersionMax="47" xr10:uidLastSave="{00000000-0000-0000-0000-000000000000}"/>
  <workbookProtection workbookAlgorithmName="SHA-512" workbookHashValue="QV4zWEIQwTrgLiOSRwaOBr0YHxauh3/4Iv1thPxxQsQ8so6+w7Rm5hKJu/+eM0cFW3UuNzzjNUbsDw6s3dTxxw==" workbookSaltValue="tOpcE1+wUw7m0kqcPuA0zw==" workbookSpinCount="100000" lockStructure="1"/>
  <bookViews>
    <workbookView xWindow="-110" yWindow="-110" windowWidth="19420" windowHeight="10300" tabRatio="604" activeTab="1" xr2:uid="{00000000-000D-0000-FFFF-FFFF00000000}"/>
  </bookViews>
  <sheets>
    <sheet name="Instructions" sheetId="4" r:id="rId1"/>
    <sheet name="Coach Card" sheetId="2" r:id="rId2"/>
    <sheet name="Print" sheetId="3" r:id="rId3"/>
    <sheet name="Data" sheetId="1" state="hidden" r:id="rId4"/>
    <sheet name="AcroDD" sheetId="5" state="hidden" r:id="rId5"/>
    <sheet name="HybridDD" sheetId="6" state="hidden" r:id="rId6"/>
    <sheet name="TREDD" sheetId="7" state="hidden" r:id="rId7"/>
  </sheets>
  <definedNames>
    <definedName name="AcroBonus_A_Code">AcroDD!$B$306:$B$344</definedName>
    <definedName name="AcroBonus_A_Value">AcroDD!$C$306:$C$344</definedName>
    <definedName name="AcroBonus_B_Code">AcroDD!$E$306:$E$344</definedName>
    <definedName name="AcroBonus_B_Value">AcroDD!$F$306:$F$344</definedName>
    <definedName name="AcroBonus_C_Code">AcroDD!$H$306:$H$344</definedName>
    <definedName name="AcroBonus_C_Value">AcroDD!$I$306:$I$344</definedName>
    <definedName name="AcroBonus_P_Code">AcroDD!$K$306:$K$344</definedName>
    <definedName name="AcroBonus_P_Value">AcroDD!$L$306:$L$344</definedName>
    <definedName name="AcroPair_Code">AcroDD!$Q$4:$Q$85</definedName>
    <definedName name="AcroPair_Value">AcroDD!$R$4:$R$85</definedName>
    <definedName name="Cons_A_Code">AcroDD!$B$4:$B$31</definedName>
    <definedName name="Cons_A_Value">AcroDD!$C$4:$C$31</definedName>
    <definedName name="Cons_B_Code">AcroDD!$E$4:$E$31</definedName>
    <definedName name="Cons_B_Value">AcroDD!$F$4:$F$31</definedName>
    <definedName name="Cons_C_Code">AcroDD!$H$4:$H$31</definedName>
    <definedName name="Cons_C_Value">AcroDD!$I$4:$I$31</definedName>
    <definedName name="Cons_P_Code">AcroDD!$K$4:$K$31</definedName>
    <definedName name="Cons_P_Value">AcroDD!$L$4:$L$31</definedName>
    <definedName name="Conx_A_Code">AcroDD!$B$38:$B$77</definedName>
    <definedName name="Conx_A_Value">AcroDD!$C$38:$C$77</definedName>
    <definedName name="Conx_B_Code">AcroDD!$E$38:$E$77</definedName>
    <definedName name="Conx_B_Value">AcroDD!$F$38:$F$77</definedName>
    <definedName name="Conx_C_Code">AcroDD!$H$38:$H$77</definedName>
    <definedName name="Conx_C_Value">AcroDD!$I$38:$I$77</definedName>
    <definedName name="Conx_P_Code">AcroDD!$K$38:$K$77</definedName>
    <definedName name="Conx_P_Value">AcroDD!$L$38:$L$77</definedName>
    <definedName name="Dirx_A_Code">AcroDD!$B$84:$B$101</definedName>
    <definedName name="Dirx_A_Value">AcroDD!$C$84:$C$101</definedName>
    <definedName name="Dirx_B_Code">AcroDD!$E$84:$E$101</definedName>
    <definedName name="Dirx_B_Value">AcroDD!$F$84:$F$101</definedName>
    <definedName name="Dirx_C_Code">AcroDD!$H$84:$H$101</definedName>
    <definedName name="Dirx_C_Value">AcroDD!$I$84:$I$101</definedName>
    <definedName name="Dirx_P_Code">AcroDD!$K$84:$K$101</definedName>
    <definedName name="Dirx_P_Value">AcroDD!$L$84:$L$101</definedName>
    <definedName name="Hyb_Code">HybridDD!$AK$3:$AK$491</definedName>
    <definedName name="Hyb_Family">HybridDD!$A$3:$A$500</definedName>
    <definedName name="Hyb_Tech">HybridDD!$AL$3:$AL$491</definedName>
    <definedName name="Hyb_Tech_Value">HybridDD!$AM$3:$AM$491</definedName>
    <definedName name="Hybrid_ChoHY">'Coach Card'!$BS$8:$BS$9</definedName>
    <definedName name="Hybrid_Mix_Req">HybridDD!$F$3:$F$80</definedName>
    <definedName name="Hybrid_Mix_Req_Value">HybridDD!$G$3:$G$80</definedName>
    <definedName name="HybridBonus_Code">HybridDD!$D$3:$D$30</definedName>
    <definedName name="HybridBonus_Value">HybridDD!$E$3:$E$30</definedName>
    <definedName name="HybridDD_Code">HybridDD!$B$3:$B$500</definedName>
    <definedName name="HybridDD_Value">HybridDD!$C$3:$C$500</definedName>
    <definedName name="Parts_Active">Data!$E$3:$E$11</definedName>
    <definedName name="Pos1_A_Code">AcroDD!$C$108:$C$147</definedName>
    <definedName name="Pos1_A_Value">AcroDD!$D$108:$D$147</definedName>
    <definedName name="Pos1_A_Var">AcroDD!$B$108:$B$147</definedName>
    <definedName name="Pos1_B_Code">AcroDD!$G$108:$G$147</definedName>
    <definedName name="Pos1_B_Value">AcroDD!$H$108:$H$147</definedName>
    <definedName name="Pos1_B_Var">AcroDD!$F$108:$F$147</definedName>
    <definedName name="Pos1_C_Code">AcroDD!$K$108:$K$147</definedName>
    <definedName name="Pos1_C_Value">AcroDD!$L$108:$L$147</definedName>
    <definedName name="Pos1_C_Var">AcroDD!$J$108:$J$147</definedName>
    <definedName name="Pos1_P_Code">AcroDD!$O$108:$O$147</definedName>
    <definedName name="Pos1_P_Value">AcroDD!$P$108:$P$147</definedName>
    <definedName name="Pos1_P_Var">AcroDD!$N$108:$N$147</definedName>
    <definedName name="Pos2_A_Code">AcroDD!$C$154:$C$193</definedName>
    <definedName name="Pos2_A_Value">AcroDD!$D$154:$D$193</definedName>
    <definedName name="Pos2_A_Var">AcroDD!$B$154:$B$193</definedName>
    <definedName name="Pos2_B_Code">AcroDD!$G$154:$G$193</definedName>
    <definedName name="Pos2_B_Value">AcroDD!$H$154:$H$193</definedName>
    <definedName name="Pos2_B_Var">AcroDD!$F$154:$F$193</definedName>
    <definedName name="Pos2_C_Code">AcroDD!$K$154:$K$193</definedName>
    <definedName name="Pos2_C_Value">AcroDD!$L$154:$L$193</definedName>
    <definedName name="Pos2_C_Var">AcroDD!$J$154:$J$193</definedName>
    <definedName name="Pos2_P_Code">AcroDD!$O$154:$O$193</definedName>
    <definedName name="Pos2_P_Value">AcroDD!$P$154:$P$193</definedName>
    <definedName name="Pos2_P_Var">AcroDD!$N$154:$N$193</definedName>
    <definedName name="Requ_App">AcroDD!$C$350:$C$389</definedName>
    <definedName name="Requ_Code">AcroDD!$B$350:$B$389</definedName>
    <definedName name="Requ_Min">AcroDD!$D$350:$D$389</definedName>
    <definedName name="RotB_A_Code">AcroDD!$B$201:$B$223</definedName>
    <definedName name="RotB_A_Value">AcroDD!$C$201:$C$223</definedName>
    <definedName name="RotB_B_Code">AcroDD!$E$201:$E$223</definedName>
    <definedName name="RotB_B_Value">AcroDD!$F$201:$F$223</definedName>
    <definedName name="RotB_C_Code">AcroDD!$H$201:$H$223</definedName>
    <definedName name="RotB_C_Value">AcroDD!$I$201:$I$223</definedName>
    <definedName name="RotB_P_Code">AcroDD!$K$201:$K$223</definedName>
    <definedName name="RotB_P_Value">AcroDD!$L$201:$L$223</definedName>
    <definedName name="RotP_A_Code">AcroDD!$B$230:$B$299</definedName>
    <definedName name="RotP_A_Value">AcroDD!$C$230:$C$299</definedName>
    <definedName name="RotP_B_Code">AcroDD!$E$230:$E$299</definedName>
    <definedName name="RotP_B_Value">AcroDD!$F$230:$F$299</definedName>
    <definedName name="RotP_C_Code">AcroDD!$H$230:$H$299</definedName>
    <definedName name="RotP_C_Value">AcroDD!$I$230:$I$299</definedName>
    <definedName name="RotP_P_Code">AcroDD!$K$230:$K$299</definedName>
    <definedName name="RotP_P_Value">AcroDD!$L$230:$L$299</definedName>
    <definedName name="Team_Acro_P_Chk1">'Coach Card'!$ED$19:$ED$58</definedName>
    <definedName name="Team_Acro_P_Chk2">'Coach Card'!$EE$19:$EE$58</definedName>
    <definedName name="TeamAcro_A_Pos1">'Coach Card'!$DQ$19:$DQ$68</definedName>
    <definedName name="TeamAcro_A_Pos2">'Coach Card'!$DR$19:$DR$68</definedName>
    <definedName name="TeamAcro_B_Cons">'Coach Card'!$DS$19:$DS$68</definedName>
    <definedName name="TeamAcro_B_Conx">'Coach Card'!$DT$19:$DT$68</definedName>
    <definedName name="TeamAcro_C_Cons">'Coach Card'!$DU$19:$DU$68</definedName>
    <definedName name="TeamAcro_P_Bonus">'Coach Card'!$EB$19:$EC$58</definedName>
    <definedName name="TeamAcro_P_Bonus1">'Coach Card'!$EB$19:$EB$58</definedName>
    <definedName name="TeamAcro_P_Bonus2">'Coach Card'!$EC$19:$EC$58</definedName>
    <definedName name="TeamAcro_P_Cons">'Coach Card'!$DV$19:$DV$68</definedName>
    <definedName name="TeamAcro_P_Conx">'Coach Card'!$DW$19:$DW$68</definedName>
    <definedName name="TeamAcro_P_Pos1">'Coach Card'!$DX$19:$DX$68</definedName>
    <definedName name="TeamAcro_P_Pos2">'Coach Card'!$DY$19:$DY$68</definedName>
    <definedName name="TRE_check">'Coach Card'!$HI$19:$HI$68</definedName>
    <definedName name="TreDD_Code">TREDD!$B$3:$B$13</definedName>
    <definedName name="TreDD_Value">TREDD!$C$3:$C$13</definedName>
    <definedName name="_xlnm.Print_Area" localSheetId="4">AcroDD!$A$1:$M$346</definedName>
    <definedName name="_xlnm.Print_Area" localSheetId="1">'Coach Card'!$A$1:$AO$68</definedName>
    <definedName name="_xlnm.Print_Area" localSheetId="2">Print!$A$1:$T$46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P18" i="2" l="1"/>
  <c r="FR93" i="2" a="1"/>
  <c r="FS93" i="2" a="1"/>
  <c r="FT93" i="2" a="1"/>
  <c r="FU93" i="2" a="1"/>
  <c r="FV93" i="2" a="1"/>
  <c r="FW93" i="2" a="1"/>
  <c r="FX93" i="2" a="1"/>
  <c r="FY93" i="2" a="1"/>
  <c r="FZ93" i="2" a="1"/>
  <c r="GA93" i="2" a="1"/>
  <c r="GB93" i="2" a="1"/>
  <c r="GC93" i="2" a="1"/>
  <c r="GD93" i="2" a="1"/>
  <c r="GE93" i="2" a="1"/>
  <c r="GF93" i="2" a="1"/>
  <c r="GG93" i="2" a="1"/>
  <c r="GH93" i="2" a="1"/>
  <c r="GI93" i="2" a="1"/>
  <c r="GJ93" i="2" a="1"/>
  <c r="GK93" i="2" a="1"/>
  <c r="GL93" i="2" a="1"/>
  <c r="GM93" i="2" a="1"/>
  <c r="GN93" i="2" a="1"/>
  <c r="GO93" i="2" a="1"/>
  <c r="GP93" i="2" a="1"/>
  <c r="GQ93" i="2" a="1"/>
  <c r="GR93" i="2" a="1"/>
  <c r="GS93" i="2" a="1"/>
  <c r="GT93" i="2" a="1"/>
  <c r="GU93" i="2" a="1"/>
  <c r="FR94" i="2" a="1"/>
  <c r="FS94" i="2" a="1"/>
  <c r="FT94" i="2" a="1"/>
  <c r="FU94" i="2" a="1"/>
  <c r="FV94" i="2" a="1"/>
  <c r="FW94" i="2" a="1"/>
  <c r="FX94" i="2" a="1"/>
  <c r="FY94" i="2" a="1"/>
  <c r="FZ94" i="2" a="1"/>
  <c r="GA94" i="2" a="1"/>
  <c r="GB94" i="2" a="1"/>
  <c r="GC94" i="2" a="1"/>
  <c r="GD94" i="2" a="1"/>
  <c r="GE94" i="2" a="1"/>
  <c r="GF94" i="2" a="1"/>
  <c r="GG94" i="2" a="1"/>
  <c r="GH94" i="2" a="1"/>
  <c r="GI94" i="2" a="1"/>
  <c r="GJ94" i="2" a="1"/>
  <c r="GK94" i="2" a="1"/>
  <c r="GL94" i="2" a="1"/>
  <c r="GM94" i="2" a="1"/>
  <c r="GN94" i="2" a="1"/>
  <c r="GO94" i="2" a="1"/>
  <c r="GP94" i="2" a="1"/>
  <c r="GQ94" i="2" a="1"/>
  <c r="GR94" i="2" a="1"/>
  <c r="GS94" i="2" a="1"/>
  <c r="GT94" i="2" a="1"/>
  <c r="GU94" i="2" a="1"/>
  <c r="FR98" i="2" a="1"/>
  <c r="FS98" i="2" a="1"/>
  <c r="FT98" i="2" a="1"/>
  <c r="FU98" i="2" a="1"/>
  <c r="FV98" i="2" a="1"/>
  <c r="FW98" i="2" a="1"/>
  <c r="FX98" i="2" a="1"/>
  <c r="FY98" i="2" a="1"/>
  <c r="FZ98" i="2" a="1"/>
  <c r="GA98" i="2" a="1"/>
  <c r="GB98" i="2" a="1"/>
  <c r="GC98" i="2" a="1"/>
  <c r="GD98" i="2" a="1"/>
  <c r="GE98" i="2" a="1"/>
  <c r="GF98" i="2" a="1"/>
  <c r="GG98" i="2" a="1"/>
  <c r="GH98" i="2" a="1"/>
  <c r="GI98" i="2" a="1"/>
  <c r="GJ98" i="2" a="1"/>
  <c r="GK98" i="2" a="1"/>
  <c r="GL98" i="2" a="1"/>
  <c r="GM98" i="2" a="1"/>
  <c r="GN98" i="2" a="1"/>
  <c r="GO98" i="2" a="1"/>
  <c r="GP98" i="2" a="1"/>
  <c r="GQ98" i="2" a="1"/>
  <c r="GR98" i="2" a="1"/>
  <c r="GS98" i="2" a="1"/>
  <c r="GT98" i="2" a="1"/>
  <c r="GU98" i="2" a="1"/>
  <c r="FR99" i="2" a="1"/>
  <c r="FS99" i="2" a="1"/>
  <c r="FT99" i="2" a="1"/>
  <c r="FU99" i="2" a="1"/>
  <c r="FV99" i="2" a="1"/>
  <c r="FW99" i="2" a="1"/>
  <c r="FX99" i="2" a="1"/>
  <c r="FY99" i="2" a="1"/>
  <c r="FZ99" i="2" a="1"/>
  <c r="GA99" i="2" a="1"/>
  <c r="GB99" i="2" a="1"/>
  <c r="GC99" i="2" a="1"/>
  <c r="GD99" i="2" a="1"/>
  <c r="GE99" i="2" a="1"/>
  <c r="GF99" i="2" a="1"/>
  <c r="GG99" i="2" a="1"/>
  <c r="GH99" i="2" a="1"/>
  <c r="GI99" i="2" a="1"/>
  <c r="GJ99" i="2" a="1"/>
  <c r="GK99" i="2" a="1"/>
  <c r="GL99" i="2" a="1"/>
  <c r="GM99" i="2" a="1"/>
  <c r="GN99" i="2" a="1"/>
  <c r="GO99" i="2" a="1"/>
  <c r="GP99" i="2" a="1"/>
  <c r="GQ99" i="2" a="1"/>
  <c r="GR99" i="2" a="1"/>
  <c r="GS99" i="2" a="1"/>
  <c r="GT99" i="2" a="1"/>
  <c r="GU99" i="2" a="1"/>
  <c r="FR103" i="2" a="1"/>
  <c r="FS103" i="2" a="1"/>
  <c r="FT103" i="2" a="1"/>
  <c r="FU103" i="2" a="1"/>
  <c r="FV103" i="2" a="1"/>
  <c r="FW103" i="2" a="1"/>
  <c r="FX103" i="2" a="1"/>
  <c r="FY103" i="2" a="1"/>
  <c r="FZ103" i="2" a="1"/>
  <c r="GA103" i="2" a="1"/>
  <c r="GB103" i="2" a="1"/>
  <c r="GC103" i="2" a="1"/>
  <c r="GD103" i="2" a="1"/>
  <c r="GE103" i="2" a="1"/>
  <c r="GF103" i="2" a="1"/>
  <c r="GG103" i="2" a="1"/>
  <c r="GH103" i="2" a="1"/>
  <c r="GI103" i="2" a="1"/>
  <c r="GJ103" i="2" a="1"/>
  <c r="GK103" i="2" a="1"/>
  <c r="GL103" i="2" a="1"/>
  <c r="GM103" i="2" a="1"/>
  <c r="GN103" i="2" a="1"/>
  <c r="GO103" i="2" a="1"/>
  <c r="GP103" i="2" a="1"/>
  <c r="GQ103" i="2" a="1"/>
  <c r="GR103" i="2" a="1"/>
  <c r="GS103" i="2" a="1"/>
  <c r="GT103" i="2" a="1"/>
  <c r="GU103" i="2" a="1"/>
  <c r="FR104" i="2" a="1"/>
  <c r="FS104" i="2" a="1"/>
  <c r="FT104" i="2" a="1"/>
  <c r="FU104" i="2" a="1"/>
  <c r="FV104" i="2" a="1"/>
  <c r="FW104" i="2" a="1"/>
  <c r="FX104" i="2" a="1"/>
  <c r="FY104" i="2" a="1"/>
  <c r="FZ104" i="2" a="1"/>
  <c r="GA104" i="2" a="1"/>
  <c r="GB104" i="2" a="1"/>
  <c r="GC104" i="2" a="1"/>
  <c r="GD104" i="2" a="1"/>
  <c r="GE104" i="2" a="1"/>
  <c r="GF104" i="2" a="1"/>
  <c r="GG104" i="2" a="1"/>
  <c r="GH104" i="2" a="1"/>
  <c r="GI104" i="2" a="1"/>
  <c r="GJ104" i="2" a="1"/>
  <c r="GK104" i="2" a="1"/>
  <c r="GL104" i="2" a="1"/>
  <c r="GM104" i="2" a="1"/>
  <c r="GN104" i="2" a="1"/>
  <c r="GO104" i="2" a="1"/>
  <c r="GP104" i="2" a="1"/>
  <c r="GQ104" i="2" a="1"/>
  <c r="GR104" i="2" a="1"/>
  <c r="GS104" i="2" a="1"/>
  <c r="GT104" i="2" a="1"/>
  <c r="GU104" i="2" a="1"/>
  <c r="FR108" i="2" a="1"/>
  <c r="FS108" i="2" a="1"/>
  <c r="FT108" i="2" a="1"/>
  <c r="FU108" i="2" a="1"/>
  <c r="FV108" i="2" a="1"/>
  <c r="FW108" i="2" a="1"/>
  <c r="FX108" i="2" a="1"/>
  <c r="FY108" i="2" a="1"/>
  <c r="FZ108" i="2" a="1"/>
  <c r="GA108" i="2" a="1"/>
  <c r="GB108" i="2" a="1"/>
  <c r="GC108" i="2" a="1"/>
  <c r="GD108" i="2" a="1"/>
  <c r="GE108" i="2" a="1"/>
  <c r="GF108" i="2" a="1"/>
  <c r="GG108" i="2" a="1"/>
  <c r="GH108" i="2" a="1"/>
  <c r="GI108" i="2" a="1"/>
  <c r="GJ108" i="2" a="1"/>
  <c r="GK108" i="2" a="1"/>
  <c r="GL108" i="2" a="1"/>
  <c r="GM108" i="2" a="1"/>
  <c r="GN108" i="2" a="1"/>
  <c r="GO108" i="2" a="1"/>
  <c r="GP108" i="2" a="1"/>
  <c r="GQ108" i="2" a="1"/>
  <c r="GR108" i="2" a="1"/>
  <c r="GS108" i="2" a="1"/>
  <c r="GT108" i="2" a="1"/>
  <c r="GU108" i="2" a="1"/>
  <c r="FR109" i="2" a="1"/>
  <c r="FS109" i="2" a="1"/>
  <c r="FT109" i="2" a="1"/>
  <c r="FU109" i="2" a="1"/>
  <c r="FV109" i="2" a="1"/>
  <c r="FW109" i="2" a="1"/>
  <c r="FX109" i="2" a="1"/>
  <c r="FY109" i="2" a="1"/>
  <c r="FZ109" i="2" a="1"/>
  <c r="GA109" i="2" a="1"/>
  <c r="GB109" i="2" a="1"/>
  <c r="GC109" i="2" a="1"/>
  <c r="GD109" i="2" a="1"/>
  <c r="GE109" i="2" a="1"/>
  <c r="GF109" i="2" a="1"/>
  <c r="GG109" i="2" a="1"/>
  <c r="GH109" i="2" a="1"/>
  <c r="GI109" i="2" a="1"/>
  <c r="GJ109" i="2" a="1"/>
  <c r="GK109" i="2" a="1"/>
  <c r="GL109" i="2" a="1"/>
  <c r="GM109" i="2" a="1"/>
  <c r="GN109" i="2" a="1"/>
  <c r="GO109" i="2" a="1"/>
  <c r="GP109" i="2" a="1"/>
  <c r="GQ109" i="2" a="1"/>
  <c r="GR109" i="2" a="1"/>
  <c r="GS109" i="2" a="1"/>
  <c r="GT109" i="2" a="1"/>
  <c r="GU109" i="2" a="1"/>
  <c r="FR113" i="2" a="1"/>
  <c r="FS113" i="2" a="1"/>
  <c r="FT113" i="2" a="1"/>
  <c r="FU113" i="2" a="1"/>
  <c r="FV113" i="2" a="1"/>
  <c r="FW113" i="2" a="1"/>
  <c r="FX113" i="2" a="1"/>
  <c r="FY113" i="2" a="1"/>
  <c r="FZ113" i="2" a="1"/>
  <c r="GA113" i="2" a="1"/>
  <c r="GB113" i="2" a="1"/>
  <c r="GC113" i="2" a="1"/>
  <c r="GD113" i="2" a="1"/>
  <c r="GE113" i="2" a="1"/>
  <c r="GF113" i="2" a="1"/>
  <c r="GG113" i="2" a="1"/>
  <c r="GH113" i="2" a="1"/>
  <c r="GI113" i="2" a="1"/>
  <c r="GJ113" i="2" a="1"/>
  <c r="GK113" i="2" a="1"/>
  <c r="GL113" i="2" a="1"/>
  <c r="GM113" i="2" a="1"/>
  <c r="GN113" i="2" a="1"/>
  <c r="GO113" i="2" a="1"/>
  <c r="GP113" i="2" a="1"/>
  <c r="GQ113" i="2" a="1"/>
  <c r="GR113" i="2" a="1"/>
  <c r="GS113" i="2" a="1"/>
  <c r="GT113" i="2" a="1"/>
  <c r="GU113" i="2" a="1"/>
  <c r="FR114" i="2" a="1"/>
  <c r="FS114" i="2" a="1"/>
  <c r="FT114" i="2" a="1"/>
  <c r="FU114" i="2" a="1"/>
  <c r="FV114" i="2" a="1"/>
  <c r="FW114" i="2" a="1"/>
  <c r="FX114" i="2" a="1"/>
  <c r="FY114" i="2" a="1"/>
  <c r="FZ114" i="2" a="1"/>
  <c r="GA114" i="2" a="1"/>
  <c r="GB114" i="2" a="1"/>
  <c r="GC114" i="2" a="1"/>
  <c r="GD114" i="2" a="1"/>
  <c r="GE114" i="2" a="1"/>
  <c r="GF114" i="2" a="1"/>
  <c r="GG114" i="2" a="1"/>
  <c r="GH114" i="2" a="1"/>
  <c r="GI114" i="2" a="1"/>
  <c r="GJ114" i="2" a="1"/>
  <c r="GK114" i="2" a="1"/>
  <c r="GL114" i="2" a="1"/>
  <c r="GM114" i="2" a="1"/>
  <c r="GN114" i="2" a="1"/>
  <c r="GO114" i="2" a="1"/>
  <c r="GP114" i="2" a="1"/>
  <c r="GQ114" i="2" a="1"/>
  <c r="GR114" i="2" a="1"/>
  <c r="GS114" i="2" a="1"/>
  <c r="GT114" i="2" a="1"/>
  <c r="GU114" i="2" a="1"/>
  <c r="FR118" i="2" a="1"/>
  <c r="FS118" i="2" a="1"/>
  <c r="FT118" i="2" a="1"/>
  <c r="FU118" i="2" a="1"/>
  <c r="FV118" i="2" a="1"/>
  <c r="FW118" i="2" a="1"/>
  <c r="FX118" i="2" a="1"/>
  <c r="FY118" i="2" a="1"/>
  <c r="FZ118" i="2" a="1"/>
  <c r="GA118" i="2" a="1"/>
  <c r="GB118" i="2" a="1"/>
  <c r="GC118" i="2" a="1"/>
  <c r="GD118" i="2" a="1"/>
  <c r="GE118" i="2" a="1"/>
  <c r="GF118" i="2" a="1"/>
  <c r="GG118" i="2" a="1"/>
  <c r="GH118" i="2" a="1"/>
  <c r="GI118" i="2" a="1"/>
  <c r="GJ118" i="2" a="1"/>
  <c r="GK118" i="2" a="1"/>
  <c r="GL118" i="2" a="1"/>
  <c r="GM118" i="2" a="1"/>
  <c r="GN118" i="2" a="1"/>
  <c r="GO118" i="2" a="1"/>
  <c r="GP118" i="2" a="1"/>
  <c r="GQ118" i="2" a="1"/>
  <c r="GR118" i="2" a="1"/>
  <c r="GS118" i="2" a="1"/>
  <c r="GT118" i="2" a="1"/>
  <c r="GU118" i="2" a="1"/>
  <c r="FR119" i="2" a="1"/>
  <c r="FS119" i="2" a="1"/>
  <c r="FT119" i="2" a="1"/>
  <c r="FU119" i="2" a="1"/>
  <c r="FV119" i="2" a="1"/>
  <c r="FW119" i="2" a="1"/>
  <c r="FX119" i="2" a="1"/>
  <c r="FY119" i="2" a="1"/>
  <c r="FZ119" i="2" a="1"/>
  <c r="GA119" i="2" a="1"/>
  <c r="GB119" i="2" a="1"/>
  <c r="GC119" i="2" a="1"/>
  <c r="GD119" i="2" a="1"/>
  <c r="GE119" i="2" a="1"/>
  <c r="GF119" i="2" a="1"/>
  <c r="GG119" i="2" a="1"/>
  <c r="GH119" i="2" a="1"/>
  <c r="GI119" i="2" a="1"/>
  <c r="GJ119" i="2" a="1"/>
  <c r="GK119" i="2" a="1"/>
  <c r="GL119" i="2" a="1"/>
  <c r="GM119" i="2" a="1"/>
  <c r="GN119" i="2" a="1"/>
  <c r="GO119" i="2" a="1"/>
  <c r="GP119" i="2" a="1"/>
  <c r="GQ119" i="2" a="1"/>
  <c r="GR119" i="2" a="1"/>
  <c r="GS119" i="2" a="1"/>
  <c r="GT119" i="2" a="1"/>
  <c r="GU119" i="2" a="1"/>
  <c r="FR123" i="2" a="1"/>
  <c r="FS123" i="2" a="1"/>
  <c r="FT123" i="2" a="1"/>
  <c r="FU123" i="2" a="1"/>
  <c r="FV123" i="2" a="1"/>
  <c r="FW123" i="2" a="1"/>
  <c r="FX123" i="2" a="1"/>
  <c r="FY123" i="2" a="1"/>
  <c r="FZ123" i="2" a="1"/>
  <c r="GA123" i="2" a="1"/>
  <c r="GB123" i="2" a="1"/>
  <c r="GC123" i="2" a="1"/>
  <c r="GD123" i="2" a="1"/>
  <c r="GE123" i="2" a="1"/>
  <c r="GF123" i="2" a="1"/>
  <c r="GG123" i="2" a="1"/>
  <c r="GH123" i="2" a="1"/>
  <c r="GI123" i="2" a="1"/>
  <c r="GJ123" i="2" a="1"/>
  <c r="GK123" i="2" a="1"/>
  <c r="GL123" i="2" a="1"/>
  <c r="GM123" i="2" a="1"/>
  <c r="GN123" i="2" a="1"/>
  <c r="GO123" i="2" a="1"/>
  <c r="GP123" i="2" a="1"/>
  <c r="GQ123" i="2" a="1"/>
  <c r="GR123" i="2" a="1"/>
  <c r="GS123" i="2" a="1"/>
  <c r="GT123" i="2" a="1"/>
  <c r="GU123" i="2" a="1"/>
  <c r="FR124" i="2" a="1"/>
  <c r="FS124" i="2" a="1"/>
  <c r="FT124" i="2" a="1"/>
  <c r="FU124" i="2" a="1"/>
  <c r="FV124" i="2" a="1"/>
  <c r="FW124" i="2" a="1"/>
  <c r="FX124" i="2" a="1"/>
  <c r="FY124" i="2" a="1"/>
  <c r="FZ124" i="2" a="1"/>
  <c r="GA124" i="2" a="1"/>
  <c r="GB124" i="2" a="1"/>
  <c r="GC124" i="2" a="1"/>
  <c r="GD124" i="2" a="1"/>
  <c r="GE124" i="2" a="1"/>
  <c r="GF124" i="2" a="1"/>
  <c r="GG124" i="2" a="1"/>
  <c r="GH124" i="2" a="1"/>
  <c r="GI124" i="2" a="1"/>
  <c r="GJ124" i="2" a="1"/>
  <c r="GK124" i="2" a="1"/>
  <c r="GL124" i="2" a="1"/>
  <c r="GM124" i="2" a="1"/>
  <c r="GN124" i="2" a="1"/>
  <c r="GO124" i="2" a="1"/>
  <c r="GP124" i="2" a="1"/>
  <c r="GQ124" i="2" a="1"/>
  <c r="GR124" i="2" a="1"/>
  <c r="GS124" i="2" a="1"/>
  <c r="GT124" i="2" a="1"/>
  <c r="GU124" i="2" a="1"/>
  <c r="FR128" i="2" a="1"/>
  <c r="FS128" i="2" a="1"/>
  <c r="FT128" i="2" a="1"/>
  <c r="FU128" i="2" a="1"/>
  <c r="FV128" i="2" a="1"/>
  <c r="FW128" i="2" a="1"/>
  <c r="FX128" i="2" a="1"/>
  <c r="FY128" i="2" a="1"/>
  <c r="FZ128" i="2" a="1"/>
  <c r="GA128" i="2" a="1"/>
  <c r="GB128" i="2" a="1"/>
  <c r="GC128" i="2" a="1"/>
  <c r="GD128" i="2" a="1"/>
  <c r="GE128" i="2" a="1"/>
  <c r="GF128" i="2" a="1"/>
  <c r="GG128" i="2" a="1"/>
  <c r="GH128" i="2" a="1"/>
  <c r="GI128" i="2" a="1"/>
  <c r="GJ128" i="2" a="1"/>
  <c r="GK128" i="2" a="1"/>
  <c r="GL128" i="2" a="1"/>
  <c r="GM128" i="2" a="1"/>
  <c r="GN128" i="2" a="1"/>
  <c r="GO128" i="2" a="1"/>
  <c r="GP128" i="2" a="1"/>
  <c r="GQ128" i="2" a="1"/>
  <c r="GR128" i="2" a="1"/>
  <c r="GS128" i="2" a="1"/>
  <c r="GT128" i="2" a="1"/>
  <c r="GU128" i="2" a="1"/>
  <c r="FR129" i="2" a="1"/>
  <c r="FS129" i="2" a="1"/>
  <c r="FT129" i="2" a="1"/>
  <c r="FU129" i="2" a="1"/>
  <c r="FV129" i="2" a="1"/>
  <c r="FW129" i="2" a="1"/>
  <c r="FX129" i="2" a="1"/>
  <c r="FY129" i="2" a="1"/>
  <c r="FZ129" i="2" a="1"/>
  <c r="GA129" i="2" a="1"/>
  <c r="GB129" i="2" a="1"/>
  <c r="GC129" i="2" a="1"/>
  <c r="GD129" i="2" a="1"/>
  <c r="GE129" i="2" a="1"/>
  <c r="GF129" i="2" a="1"/>
  <c r="GG129" i="2" a="1"/>
  <c r="GH129" i="2" a="1"/>
  <c r="GI129" i="2" a="1"/>
  <c r="GJ129" i="2" a="1"/>
  <c r="GK129" i="2" a="1"/>
  <c r="GL129" i="2" a="1"/>
  <c r="GM129" i="2" a="1"/>
  <c r="GN129" i="2" a="1"/>
  <c r="GO129" i="2" a="1"/>
  <c r="GP129" i="2" a="1"/>
  <c r="GQ129" i="2" a="1"/>
  <c r="GR129" i="2" a="1"/>
  <c r="GS129" i="2" a="1"/>
  <c r="GT129" i="2" a="1"/>
  <c r="GU129" i="2" a="1"/>
  <c r="FR133" i="2" a="1"/>
  <c r="FS133" i="2" a="1"/>
  <c r="FT133" i="2" a="1"/>
  <c r="FU133" i="2" a="1"/>
  <c r="FV133" i="2" a="1"/>
  <c r="FW133" i="2" a="1"/>
  <c r="FX133" i="2" a="1"/>
  <c r="FY133" i="2" a="1"/>
  <c r="FZ133" i="2" a="1"/>
  <c r="GA133" i="2" a="1"/>
  <c r="GB133" i="2" a="1"/>
  <c r="GC133" i="2" a="1"/>
  <c r="GD133" i="2" a="1"/>
  <c r="GE133" i="2" a="1"/>
  <c r="GF133" i="2" a="1"/>
  <c r="GG133" i="2" a="1"/>
  <c r="GH133" i="2" a="1"/>
  <c r="GI133" i="2" a="1"/>
  <c r="GJ133" i="2" a="1"/>
  <c r="GK133" i="2" a="1"/>
  <c r="GL133" i="2" a="1"/>
  <c r="GM133" i="2" a="1"/>
  <c r="GN133" i="2" a="1"/>
  <c r="GO133" i="2" a="1"/>
  <c r="GP133" i="2" a="1"/>
  <c r="GQ133" i="2" a="1"/>
  <c r="GR133" i="2" a="1"/>
  <c r="GS133" i="2" a="1"/>
  <c r="GT133" i="2" a="1"/>
  <c r="GU133" i="2" a="1"/>
  <c r="FR134" i="2" a="1"/>
  <c r="FS134" i="2" a="1"/>
  <c r="FT134" i="2" a="1"/>
  <c r="FU134" i="2" a="1"/>
  <c r="FV134" i="2" a="1"/>
  <c r="FW134" i="2" a="1"/>
  <c r="FX134" i="2" a="1"/>
  <c r="FY134" i="2" a="1"/>
  <c r="FZ134" i="2" a="1"/>
  <c r="GA134" i="2" a="1"/>
  <c r="GB134" i="2" a="1"/>
  <c r="GC134" i="2" a="1"/>
  <c r="GD134" i="2" a="1"/>
  <c r="GE134" i="2" a="1"/>
  <c r="GF134" i="2" a="1"/>
  <c r="GG134" i="2" a="1"/>
  <c r="GH134" i="2" a="1"/>
  <c r="GI134" i="2" a="1"/>
  <c r="GJ134" i="2" a="1"/>
  <c r="GK134" i="2" a="1"/>
  <c r="GL134" i="2" a="1"/>
  <c r="GM134" i="2" a="1"/>
  <c r="GN134" i="2" a="1"/>
  <c r="GO134" i="2" a="1"/>
  <c r="GP134" i="2" a="1"/>
  <c r="GQ134" i="2" a="1"/>
  <c r="GR134" i="2" a="1"/>
  <c r="GS134" i="2" a="1"/>
  <c r="GT134" i="2" a="1"/>
  <c r="GU134" i="2" a="1"/>
  <c r="FR138" i="2" a="1"/>
  <c r="FS138" i="2" a="1"/>
  <c r="FT138" i="2" a="1"/>
  <c r="FU138" i="2" a="1"/>
  <c r="FV138" i="2" a="1"/>
  <c r="FW138" i="2" a="1"/>
  <c r="FX138" i="2" a="1"/>
  <c r="FY138" i="2" a="1"/>
  <c r="FZ138" i="2" a="1"/>
  <c r="GA138" i="2" a="1"/>
  <c r="GB138" i="2" a="1"/>
  <c r="GC138" i="2" a="1"/>
  <c r="GD138" i="2" a="1"/>
  <c r="GE138" i="2" a="1"/>
  <c r="GF138" i="2" a="1"/>
  <c r="GG138" i="2" a="1"/>
  <c r="GH138" i="2" a="1"/>
  <c r="GI138" i="2" a="1"/>
  <c r="GJ138" i="2" a="1"/>
  <c r="GK138" i="2" a="1"/>
  <c r="GL138" i="2" a="1"/>
  <c r="GM138" i="2" a="1"/>
  <c r="GN138" i="2" a="1"/>
  <c r="GO138" i="2" a="1"/>
  <c r="GP138" i="2" a="1"/>
  <c r="GQ138" i="2" a="1"/>
  <c r="GR138" i="2" a="1"/>
  <c r="GS138" i="2" a="1"/>
  <c r="GT138" i="2" a="1"/>
  <c r="GU138" i="2" a="1"/>
  <c r="FR139" i="2" a="1"/>
  <c r="FS139" i="2" a="1"/>
  <c r="FT139" i="2" a="1"/>
  <c r="FU139" i="2" a="1"/>
  <c r="FV139" i="2" a="1"/>
  <c r="FW139" i="2" a="1"/>
  <c r="FX139" i="2" a="1"/>
  <c r="FY139" i="2" a="1"/>
  <c r="FZ139" i="2" a="1"/>
  <c r="GA139" i="2" a="1"/>
  <c r="GB139" i="2" a="1"/>
  <c r="GC139" i="2" a="1"/>
  <c r="GD139" i="2" a="1"/>
  <c r="GE139" i="2" a="1"/>
  <c r="GF139" i="2" a="1"/>
  <c r="GG139" i="2" a="1"/>
  <c r="GH139" i="2" a="1"/>
  <c r="GI139" i="2" a="1"/>
  <c r="GJ139" i="2" a="1"/>
  <c r="GK139" i="2" a="1"/>
  <c r="GL139" i="2" a="1"/>
  <c r="GM139" i="2" a="1"/>
  <c r="GN139" i="2" a="1"/>
  <c r="GO139" i="2" a="1"/>
  <c r="GP139" i="2" a="1"/>
  <c r="GQ139" i="2" a="1"/>
  <c r="GR139" i="2" a="1"/>
  <c r="GS139" i="2" a="1"/>
  <c r="GT139" i="2" a="1"/>
  <c r="GU139" i="2" a="1"/>
  <c r="FR143" i="2" a="1"/>
  <c r="FS143" i="2" a="1"/>
  <c r="FT143" i="2" a="1"/>
  <c r="FU143" i="2" a="1"/>
  <c r="FV143" i="2" a="1"/>
  <c r="FW143" i="2" a="1"/>
  <c r="FX143" i="2" a="1"/>
  <c r="FY143" i="2" a="1"/>
  <c r="FZ143" i="2" a="1"/>
  <c r="GA143" i="2" a="1"/>
  <c r="GB143" i="2" a="1"/>
  <c r="GC143" i="2" a="1"/>
  <c r="GD143" i="2" a="1"/>
  <c r="GE143" i="2" a="1"/>
  <c r="GF143" i="2" a="1"/>
  <c r="GG143" i="2" a="1"/>
  <c r="GH143" i="2" a="1"/>
  <c r="GI143" i="2" a="1"/>
  <c r="GJ143" i="2" a="1"/>
  <c r="GK143" i="2" a="1"/>
  <c r="GL143" i="2" a="1"/>
  <c r="GM143" i="2" a="1"/>
  <c r="GN143" i="2" a="1"/>
  <c r="GO143" i="2" a="1"/>
  <c r="GP143" i="2" a="1"/>
  <c r="GQ143" i="2" a="1"/>
  <c r="GR143" i="2" a="1"/>
  <c r="GS143" i="2" a="1"/>
  <c r="GT143" i="2" a="1"/>
  <c r="GU143" i="2" a="1"/>
  <c r="FR144" i="2" a="1"/>
  <c r="FS144" i="2" a="1"/>
  <c r="FT144" i="2" a="1"/>
  <c r="FU144" i="2" a="1"/>
  <c r="FV144" i="2" a="1"/>
  <c r="FW144" i="2" a="1"/>
  <c r="FX144" i="2" a="1"/>
  <c r="FY144" i="2" a="1"/>
  <c r="FZ144" i="2" a="1"/>
  <c r="GA144" i="2" a="1"/>
  <c r="GB144" i="2" a="1"/>
  <c r="GC144" i="2" a="1"/>
  <c r="GD144" i="2" a="1"/>
  <c r="GE144" i="2" a="1"/>
  <c r="GF144" i="2" a="1"/>
  <c r="GG144" i="2" a="1"/>
  <c r="GH144" i="2" a="1"/>
  <c r="GI144" i="2" a="1"/>
  <c r="GJ144" i="2" a="1"/>
  <c r="GK144" i="2" a="1"/>
  <c r="GL144" i="2" a="1"/>
  <c r="GM144" i="2" a="1"/>
  <c r="GN144" i="2" a="1"/>
  <c r="GO144" i="2" a="1"/>
  <c r="GP144" i="2" a="1"/>
  <c r="GQ144" i="2" a="1"/>
  <c r="GR144" i="2" a="1"/>
  <c r="GS144" i="2" a="1"/>
  <c r="GT144" i="2" a="1"/>
  <c r="GU144" i="2" a="1"/>
  <c r="FR148" i="2" a="1"/>
  <c r="FS148" i="2" a="1"/>
  <c r="FT148" i="2" a="1"/>
  <c r="FU148" i="2" a="1"/>
  <c r="FV148" i="2" a="1"/>
  <c r="FW148" i="2" a="1"/>
  <c r="FX148" i="2" a="1"/>
  <c r="FY148" i="2" a="1"/>
  <c r="FZ148" i="2" a="1"/>
  <c r="GA148" i="2" a="1"/>
  <c r="GB148" i="2" a="1"/>
  <c r="GC148" i="2" a="1"/>
  <c r="GD148" i="2" a="1"/>
  <c r="GE148" i="2" a="1"/>
  <c r="GF148" i="2" a="1"/>
  <c r="GG148" i="2" a="1"/>
  <c r="GH148" i="2" a="1"/>
  <c r="GI148" i="2" a="1"/>
  <c r="GJ148" i="2" a="1"/>
  <c r="GK148" i="2" a="1"/>
  <c r="GL148" i="2" a="1"/>
  <c r="GM148" i="2" a="1"/>
  <c r="GN148" i="2" a="1"/>
  <c r="GO148" i="2" a="1"/>
  <c r="GP148" i="2" a="1"/>
  <c r="GQ148" i="2" a="1"/>
  <c r="GR148" i="2" a="1"/>
  <c r="GS148" i="2" a="1"/>
  <c r="GT148" i="2" a="1"/>
  <c r="GU148" i="2" a="1"/>
  <c r="FR149" i="2" a="1"/>
  <c r="FS149" i="2" a="1"/>
  <c r="FT149" i="2" a="1"/>
  <c r="FU149" i="2" a="1"/>
  <c r="FV149" i="2" a="1"/>
  <c r="FW149" i="2" a="1"/>
  <c r="FX149" i="2" a="1"/>
  <c r="FY149" i="2" a="1"/>
  <c r="FZ149" i="2" a="1"/>
  <c r="GA149" i="2" a="1"/>
  <c r="GB149" i="2" a="1"/>
  <c r="GC149" i="2" a="1"/>
  <c r="GD149" i="2" a="1"/>
  <c r="GE149" i="2" a="1"/>
  <c r="GF149" i="2" a="1"/>
  <c r="GG149" i="2" a="1"/>
  <c r="GH149" i="2" a="1"/>
  <c r="GI149" i="2" a="1"/>
  <c r="GJ149" i="2" a="1"/>
  <c r="GK149" i="2" a="1"/>
  <c r="GL149" i="2" a="1"/>
  <c r="GM149" i="2" a="1"/>
  <c r="GN149" i="2" a="1"/>
  <c r="GO149" i="2" a="1"/>
  <c r="GP149" i="2" a="1"/>
  <c r="GQ149" i="2" a="1"/>
  <c r="GR149" i="2" a="1"/>
  <c r="GS149" i="2" a="1"/>
  <c r="GT149" i="2" a="1"/>
  <c r="GU149" i="2" a="1"/>
  <c r="FR153" i="2" a="1"/>
  <c r="FS153" i="2" a="1"/>
  <c r="FT153" i="2" a="1"/>
  <c r="FU153" i="2" a="1"/>
  <c r="FV153" i="2" a="1"/>
  <c r="FW153" i="2" a="1"/>
  <c r="FX153" i="2" a="1"/>
  <c r="FY153" i="2" a="1"/>
  <c r="FZ153" i="2" a="1"/>
  <c r="GA153" i="2" a="1"/>
  <c r="GB153" i="2" a="1"/>
  <c r="GC153" i="2" a="1"/>
  <c r="GD153" i="2" a="1"/>
  <c r="GE153" i="2" a="1"/>
  <c r="GF153" i="2" a="1"/>
  <c r="GG153" i="2" a="1"/>
  <c r="GH153" i="2" a="1"/>
  <c r="GI153" i="2" a="1"/>
  <c r="GJ153" i="2" a="1"/>
  <c r="GK153" i="2" a="1"/>
  <c r="GL153" i="2" a="1"/>
  <c r="GM153" i="2" a="1"/>
  <c r="GN153" i="2" a="1"/>
  <c r="GO153" i="2" a="1"/>
  <c r="GP153" i="2" a="1"/>
  <c r="GQ153" i="2" a="1"/>
  <c r="GR153" i="2" a="1"/>
  <c r="GS153" i="2" a="1"/>
  <c r="GT153" i="2" a="1"/>
  <c r="GU153" i="2" a="1"/>
  <c r="FR154" i="2" a="1"/>
  <c r="FS154" i="2" a="1"/>
  <c r="FT154" i="2" a="1"/>
  <c r="FU154" i="2" a="1"/>
  <c r="FV154" i="2" a="1"/>
  <c r="FW154" i="2" a="1"/>
  <c r="FX154" i="2" a="1"/>
  <c r="FY154" i="2" a="1"/>
  <c r="FZ154" i="2" a="1"/>
  <c r="GA154" i="2" a="1"/>
  <c r="GB154" i="2" a="1"/>
  <c r="GC154" i="2" a="1"/>
  <c r="GD154" i="2" a="1"/>
  <c r="GE154" i="2" a="1"/>
  <c r="GF154" i="2" a="1"/>
  <c r="GG154" i="2" a="1"/>
  <c r="GH154" i="2" a="1"/>
  <c r="GI154" i="2" a="1"/>
  <c r="GJ154" i="2" a="1"/>
  <c r="GK154" i="2" a="1"/>
  <c r="GL154" i="2" a="1"/>
  <c r="GM154" i="2" a="1"/>
  <c r="GN154" i="2" a="1"/>
  <c r="GO154" i="2" a="1"/>
  <c r="GP154" i="2" a="1"/>
  <c r="GQ154" i="2" a="1"/>
  <c r="GR154" i="2" a="1"/>
  <c r="GS154" i="2" a="1"/>
  <c r="GT154" i="2" a="1"/>
  <c r="GU154" i="2" a="1"/>
  <c r="FR158" i="2" a="1"/>
  <c r="FS158" i="2" a="1"/>
  <c r="FT158" i="2" a="1"/>
  <c r="FU158" i="2" a="1"/>
  <c r="FV158" i="2" a="1"/>
  <c r="FW158" i="2" a="1"/>
  <c r="FX158" i="2" a="1"/>
  <c r="FY158" i="2" a="1"/>
  <c r="FZ158" i="2" a="1"/>
  <c r="GA158" i="2" a="1"/>
  <c r="GB158" i="2" a="1"/>
  <c r="GC158" i="2" a="1"/>
  <c r="GD158" i="2" a="1"/>
  <c r="GE158" i="2" a="1"/>
  <c r="GF158" i="2" a="1"/>
  <c r="GG158" i="2" a="1"/>
  <c r="GH158" i="2" a="1"/>
  <c r="GI158" i="2" a="1"/>
  <c r="GJ158" i="2" a="1"/>
  <c r="GK158" i="2" a="1"/>
  <c r="GL158" i="2" a="1"/>
  <c r="GM158" i="2" a="1"/>
  <c r="GN158" i="2" a="1"/>
  <c r="GO158" i="2" a="1"/>
  <c r="GP158" i="2" a="1"/>
  <c r="GQ158" i="2" a="1"/>
  <c r="GR158" i="2" a="1"/>
  <c r="GS158" i="2" a="1"/>
  <c r="GT158" i="2" a="1"/>
  <c r="GU158" i="2" a="1"/>
  <c r="FR159" i="2" a="1"/>
  <c r="FS159" i="2" a="1"/>
  <c r="FT159" i="2" a="1"/>
  <c r="FU159" i="2" a="1"/>
  <c r="FV159" i="2" a="1"/>
  <c r="FW159" i="2" a="1"/>
  <c r="FX159" i="2" a="1"/>
  <c r="FY159" i="2" a="1"/>
  <c r="FZ159" i="2" a="1"/>
  <c r="GA159" i="2" a="1"/>
  <c r="GB159" i="2" a="1"/>
  <c r="GC159" i="2" a="1"/>
  <c r="GD159" i="2" a="1"/>
  <c r="GE159" i="2" a="1"/>
  <c r="GF159" i="2" a="1"/>
  <c r="GG159" i="2" a="1"/>
  <c r="GH159" i="2" a="1"/>
  <c r="GI159" i="2" a="1"/>
  <c r="GJ159" i="2" a="1"/>
  <c r="GK159" i="2" a="1"/>
  <c r="GL159" i="2" a="1"/>
  <c r="GM159" i="2" a="1"/>
  <c r="GN159" i="2" a="1"/>
  <c r="GO159" i="2" a="1"/>
  <c r="GP159" i="2" a="1"/>
  <c r="GQ159" i="2" a="1"/>
  <c r="GR159" i="2" a="1"/>
  <c r="GS159" i="2" a="1"/>
  <c r="GT159" i="2" a="1"/>
  <c r="GU159" i="2" a="1"/>
  <c r="FR163" i="2" a="1"/>
  <c r="FS163" i="2" a="1"/>
  <c r="FT163" i="2" a="1"/>
  <c r="FU163" i="2" a="1"/>
  <c r="FV163" i="2" a="1"/>
  <c r="FW163" i="2" a="1"/>
  <c r="FX163" i="2" a="1"/>
  <c r="FY163" i="2" a="1"/>
  <c r="FZ163" i="2" a="1"/>
  <c r="GA163" i="2" a="1"/>
  <c r="GB163" i="2" a="1"/>
  <c r="GC163" i="2" a="1"/>
  <c r="GD163" i="2" a="1"/>
  <c r="GE163" i="2" a="1"/>
  <c r="GF163" i="2" a="1"/>
  <c r="GG163" i="2" a="1"/>
  <c r="GH163" i="2" a="1"/>
  <c r="GI163" i="2" a="1"/>
  <c r="GJ163" i="2" a="1"/>
  <c r="GK163" i="2" a="1"/>
  <c r="GL163" i="2" a="1"/>
  <c r="GM163" i="2" a="1"/>
  <c r="GN163" i="2" a="1"/>
  <c r="GO163" i="2" a="1"/>
  <c r="GP163" i="2" a="1"/>
  <c r="GQ163" i="2" a="1"/>
  <c r="GR163" i="2" a="1"/>
  <c r="GS163" i="2" a="1"/>
  <c r="GT163" i="2" a="1"/>
  <c r="GU163" i="2" a="1"/>
  <c r="FR164" i="2" a="1"/>
  <c r="FS164" i="2" a="1"/>
  <c r="FT164" i="2" a="1"/>
  <c r="FU164" i="2" a="1"/>
  <c r="FV164" i="2" a="1"/>
  <c r="FW164" i="2" a="1"/>
  <c r="FX164" i="2" a="1"/>
  <c r="FY164" i="2" a="1"/>
  <c r="FZ164" i="2" a="1"/>
  <c r="GA164" i="2" a="1"/>
  <c r="GB164" i="2" a="1"/>
  <c r="GC164" i="2" a="1"/>
  <c r="GD164" i="2" a="1"/>
  <c r="GE164" i="2" a="1"/>
  <c r="GF164" i="2" a="1"/>
  <c r="GG164" i="2" a="1"/>
  <c r="GH164" i="2" a="1"/>
  <c r="GI164" i="2" a="1"/>
  <c r="GJ164" i="2" a="1"/>
  <c r="GK164" i="2" a="1"/>
  <c r="GL164" i="2" a="1"/>
  <c r="GM164" i="2" a="1"/>
  <c r="GN164" i="2" a="1"/>
  <c r="GO164" i="2" a="1"/>
  <c r="GP164" i="2" a="1"/>
  <c r="GQ164" i="2" a="1"/>
  <c r="GR164" i="2" a="1"/>
  <c r="GS164" i="2" a="1"/>
  <c r="GT164" i="2" a="1"/>
  <c r="GU164" i="2" a="1"/>
  <c r="FR168" i="2" a="1"/>
  <c r="FS168" i="2" a="1"/>
  <c r="FT168" i="2" a="1"/>
  <c r="FU168" i="2" a="1"/>
  <c r="FV168" i="2" a="1"/>
  <c r="FW168" i="2" a="1"/>
  <c r="FX168" i="2" a="1"/>
  <c r="FY168" i="2" a="1"/>
  <c r="FZ168" i="2" a="1"/>
  <c r="GA168" i="2" a="1"/>
  <c r="GB168" i="2" a="1"/>
  <c r="GC168" i="2" a="1"/>
  <c r="GD168" i="2" a="1"/>
  <c r="GE168" i="2" a="1"/>
  <c r="GF168" i="2" a="1"/>
  <c r="GG168" i="2" a="1"/>
  <c r="GH168" i="2" a="1"/>
  <c r="GI168" i="2" a="1"/>
  <c r="GJ168" i="2" a="1"/>
  <c r="GK168" i="2" a="1"/>
  <c r="GL168" i="2" a="1"/>
  <c r="GM168" i="2" a="1"/>
  <c r="GN168" i="2" a="1"/>
  <c r="GO168" i="2" a="1"/>
  <c r="GP168" i="2" a="1"/>
  <c r="GQ168" i="2" a="1"/>
  <c r="GR168" i="2" a="1"/>
  <c r="GS168" i="2" a="1"/>
  <c r="GT168" i="2" a="1"/>
  <c r="GU168" i="2" a="1"/>
  <c r="FR169" i="2" a="1"/>
  <c r="FS169" i="2" a="1"/>
  <c r="FT169" i="2" a="1"/>
  <c r="FU169" i="2" a="1"/>
  <c r="FV169" i="2" a="1"/>
  <c r="FW169" i="2" a="1"/>
  <c r="FX169" i="2" a="1"/>
  <c r="FY169" i="2" a="1"/>
  <c r="FZ169" i="2" a="1"/>
  <c r="GA169" i="2" a="1"/>
  <c r="GB169" i="2" a="1"/>
  <c r="GC169" i="2" a="1"/>
  <c r="GD169" i="2" a="1"/>
  <c r="GE169" i="2" a="1"/>
  <c r="GF169" i="2" a="1"/>
  <c r="GG169" i="2" a="1"/>
  <c r="GH169" i="2" a="1"/>
  <c r="GI169" i="2" a="1"/>
  <c r="GJ169" i="2" a="1"/>
  <c r="GK169" i="2" a="1"/>
  <c r="GL169" i="2" a="1"/>
  <c r="GM169" i="2" a="1"/>
  <c r="GN169" i="2" a="1"/>
  <c r="GO169" i="2" a="1"/>
  <c r="GP169" i="2" a="1"/>
  <c r="GQ169" i="2" a="1"/>
  <c r="GR169" i="2" a="1"/>
  <c r="GS169" i="2" a="1"/>
  <c r="GT169" i="2" a="1"/>
  <c r="GU169" i="2" a="1"/>
  <c r="HN43" i="2" l="1"/>
  <c r="HN45" i="2"/>
  <c r="HN47" i="2"/>
  <c r="HN49" i="2"/>
  <c r="HN51" i="2"/>
  <c r="HN53" i="2"/>
  <c r="HN55" i="2"/>
  <c r="HN57" i="2"/>
  <c r="HK57" i="2" l="1"/>
  <c r="P15" i="2" a="1"/>
  <c r="N10" i="2"/>
  <c r="E50" i="1"/>
  <c r="BV7" i="2"/>
  <c r="E15" i="1"/>
  <c r="E120" i="1"/>
  <c r="E37" i="1"/>
  <c r="P8" i="3"/>
  <c r="EF21" i="2"/>
  <c r="EG21" i="2" s="1"/>
  <c r="EF25" i="2"/>
  <c r="EG25" i="2" s="1"/>
  <c r="EF41" i="2"/>
  <c r="EG41" i="2" s="1"/>
  <c r="EF43" i="2"/>
  <c r="EG43" i="2" s="1"/>
  <c r="EF45" i="2"/>
  <c r="EG45" i="2" s="1"/>
  <c r="EF47" i="2"/>
  <c r="EG47" i="2" s="1"/>
  <c r="EF49" i="2"/>
  <c r="EG49" i="2" s="1"/>
  <c r="EF51" i="2"/>
  <c r="EG51" i="2" s="1"/>
  <c r="EF53" i="2"/>
  <c r="EG53" i="2" s="1"/>
  <c r="EF55" i="2"/>
  <c r="EG55" i="2" s="1"/>
  <c r="EF57" i="2"/>
  <c r="EG57" i="2" s="1"/>
  <c r="W794" i="6"/>
  <c r="V794" i="6"/>
  <c r="W793" i="6"/>
  <c r="V793" i="6"/>
  <c r="W792" i="6"/>
  <c r="V792" i="6"/>
  <c r="W791" i="6"/>
  <c r="V791" i="6"/>
  <c r="W790" i="6"/>
  <c r="V790" i="6"/>
  <c r="W789" i="6"/>
  <c r="V789" i="6"/>
  <c r="W788" i="6"/>
  <c r="V788" i="6"/>
  <c r="W787" i="6"/>
  <c r="V787" i="6"/>
  <c r="W786" i="6"/>
  <c r="V786" i="6"/>
  <c r="W785" i="6"/>
  <c r="V785" i="6"/>
  <c r="W784" i="6"/>
  <c r="V784" i="6"/>
  <c r="W783" i="6"/>
  <c r="V783" i="6"/>
  <c r="W782" i="6"/>
  <c r="V782" i="6"/>
  <c r="T782" i="6"/>
  <c r="S782" i="6"/>
  <c r="Q782" i="6"/>
  <c r="P782" i="6"/>
  <c r="W781" i="6"/>
  <c r="V781" i="6"/>
  <c r="T781" i="6"/>
  <c r="S781" i="6"/>
  <c r="Q781" i="6"/>
  <c r="P781" i="6"/>
  <c r="W780" i="6"/>
  <c r="V780" i="6"/>
  <c r="T780" i="6"/>
  <c r="S780" i="6"/>
  <c r="Q780" i="6"/>
  <c r="P780" i="6"/>
  <c r="W779" i="6"/>
  <c r="V779" i="6"/>
  <c r="T779" i="6"/>
  <c r="S779" i="6"/>
  <c r="Q779" i="6"/>
  <c r="P779" i="6"/>
  <c r="W778" i="6"/>
  <c r="V778" i="6"/>
  <c r="T778" i="6"/>
  <c r="S778" i="6"/>
  <c r="Q778" i="6"/>
  <c r="P778" i="6"/>
  <c r="W777" i="6"/>
  <c r="V777" i="6"/>
  <c r="T777" i="6"/>
  <c r="S777" i="6"/>
  <c r="Q777" i="6"/>
  <c r="P777" i="6"/>
  <c r="W776" i="6"/>
  <c r="V776" i="6"/>
  <c r="T776" i="6"/>
  <c r="S776" i="6"/>
  <c r="Q776" i="6"/>
  <c r="P776" i="6"/>
  <c r="W775" i="6"/>
  <c r="V775" i="6"/>
  <c r="T775" i="6"/>
  <c r="S775" i="6"/>
  <c r="Q775" i="6"/>
  <c r="P775" i="6"/>
  <c r="W774" i="6"/>
  <c r="V774" i="6"/>
  <c r="T774" i="6"/>
  <c r="S774" i="6"/>
  <c r="Q774" i="6"/>
  <c r="P774" i="6"/>
  <c r="W773" i="6"/>
  <c r="V773" i="6"/>
  <c r="T773" i="6"/>
  <c r="S773" i="6"/>
  <c r="Q773" i="6"/>
  <c r="P773" i="6"/>
  <c r="W772" i="6"/>
  <c r="V772" i="6"/>
  <c r="T772" i="6"/>
  <c r="S772" i="6"/>
  <c r="Q772" i="6"/>
  <c r="P772" i="6"/>
  <c r="W771" i="6"/>
  <c r="V771" i="6"/>
  <c r="T771" i="6"/>
  <c r="S771" i="6"/>
  <c r="Q771" i="6"/>
  <c r="P771" i="6"/>
  <c r="W770" i="6"/>
  <c r="V770" i="6"/>
  <c r="T770" i="6"/>
  <c r="S770" i="6"/>
  <c r="Q770" i="6"/>
  <c r="P770" i="6"/>
  <c r="W769" i="6"/>
  <c r="V769" i="6"/>
  <c r="T769" i="6"/>
  <c r="S769" i="6"/>
  <c r="Q769" i="6"/>
  <c r="P769" i="6"/>
  <c r="W768" i="6"/>
  <c r="V768" i="6"/>
  <c r="T768" i="6"/>
  <c r="S768" i="6"/>
  <c r="Q768" i="6"/>
  <c r="P768" i="6"/>
  <c r="W767" i="6"/>
  <c r="V767" i="6"/>
  <c r="T767" i="6"/>
  <c r="S767" i="6"/>
  <c r="Q767" i="6"/>
  <c r="P767" i="6"/>
  <c r="W766" i="6"/>
  <c r="V766" i="6"/>
  <c r="T766" i="6"/>
  <c r="S766" i="6"/>
  <c r="Q766" i="6"/>
  <c r="P766" i="6"/>
  <c r="W765" i="6"/>
  <c r="V765" i="6"/>
  <c r="T765" i="6"/>
  <c r="S765" i="6"/>
  <c r="Q765" i="6"/>
  <c r="P765" i="6"/>
  <c r="W764" i="6"/>
  <c r="V764" i="6"/>
  <c r="T764" i="6"/>
  <c r="S764" i="6"/>
  <c r="Q764" i="6"/>
  <c r="P764" i="6"/>
  <c r="W763" i="6"/>
  <c r="V763" i="6"/>
  <c r="T763" i="6"/>
  <c r="S763" i="6"/>
  <c r="Q763" i="6"/>
  <c r="P763" i="6"/>
  <c r="W762" i="6"/>
  <c r="V762" i="6"/>
  <c r="T762" i="6"/>
  <c r="S762" i="6"/>
  <c r="Q762" i="6"/>
  <c r="P762" i="6"/>
  <c r="W761" i="6"/>
  <c r="V761" i="6"/>
  <c r="T761" i="6"/>
  <c r="S761" i="6"/>
  <c r="Q761" i="6"/>
  <c r="P761" i="6"/>
  <c r="W760" i="6"/>
  <c r="V760" i="6"/>
  <c r="T760" i="6"/>
  <c r="S760" i="6"/>
  <c r="Q760" i="6"/>
  <c r="P760" i="6"/>
  <c r="W759" i="6"/>
  <c r="V759" i="6"/>
  <c r="T759" i="6"/>
  <c r="S759" i="6"/>
  <c r="Q759" i="6"/>
  <c r="P759" i="6"/>
  <c r="W758" i="6"/>
  <c r="V758" i="6"/>
  <c r="T758" i="6"/>
  <c r="S758" i="6"/>
  <c r="Q758" i="6"/>
  <c r="P758" i="6"/>
  <c r="W757" i="6"/>
  <c r="V757" i="6"/>
  <c r="T757" i="6"/>
  <c r="S757" i="6"/>
  <c r="Q757" i="6"/>
  <c r="P757" i="6"/>
  <c r="W756" i="6"/>
  <c r="V756" i="6"/>
  <c r="T756" i="6"/>
  <c r="S756" i="6"/>
  <c r="Q756" i="6"/>
  <c r="P756" i="6"/>
  <c r="W755" i="6"/>
  <c r="V755" i="6"/>
  <c r="T755" i="6"/>
  <c r="S755" i="6"/>
  <c r="Q755" i="6"/>
  <c r="P755" i="6"/>
  <c r="W754" i="6"/>
  <c r="V754" i="6"/>
  <c r="T754" i="6"/>
  <c r="S754" i="6"/>
  <c r="Q754" i="6"/>
  <c r="P754" i="6"/>
  <c r="W753" i="6"/>
  <c r="V753" i="6"/>
  <c r="T753" i="6"/>
  <c r="S753" i="6"/>
  <c r="Q753" i="6"/>
  <c r="P753" i="6"/>
  <c r="W752" i="6"/>
  <c r="V752" i="6"/>
  <c r="T752" i="6"/>
  <c r="S752" i="6"/>
  <c r="Q752" i="6"/>
  <c r="P752" i="6"/>
  <c r="W751" i="6"/>
  <c r="V751" i="6"/>
  <c r="T751" i="6"/>
  <c r="S751" i="6"/>
  <c r="Q751" i="6"/>
  <c r="P751" i="6"/>
  <c r="W750" i="6"/>
  <c r="V750" i="6"/>
  <c r="T750" i="6"/>
  <c r="S750" i="6"/>
  <c r="Q750" i="6"/>
  <c r="P750" i="6"/>
  <c r="W749" i="6"/>
  <c r="V749" i="6"/>
  <c r="T749" i="6"/>
  <c r="S749" i="6"/>
  <c r="Q749" i="6"/>
  <c r="P749" i="6"/>
  <c r="W748" i="6"/>
  <c r="V748" i="6"/>
  <c r="T748" i="6"/>
  <c r="S748" i="6"/>
  <c r="Q748" i="6"/>
  <c r="P748" i="6"/>
  <c r="W747" i="6"/>
  <c r="V747" i="6"/>
  <c r="T747" i="6"/>
  <c r="S747" i="6"/>
  <c r="Q747" i="6"/>
  <c r="P747" i="6"/>
  <c r="W746" i="6"/>
  <c r="V746" i="6"/>
  <c r="T746" i="6"/>
  <c r="S746" i="6"/>
  <c r="Q746" i="6"/>
  <c r="P746" i="6"/>
  <c r="W745" i="6"/>
  <c r="V745" i="6"/>
  <c r="T745" i="6"/>
  <c r="S745" i="6"/>
  <c r="Q745" i="6"/>
  <c r="P745" i="6"/>
  <c r="W744" i="6"/>
  <c r="V744" i="6"/>
  <c r="T744" i="6"/>
  <c r="S744" i="6"/>
  <c r="Q744" i="6"/>
  <c r="P744" i="6"/>
  <c r="W743" i="6"/>
  <c r="V743" i="6"/>
  <c r="T743" i="6"/>
  <c r="S743" i="6"/>
  <c r="Q743" i="6"/>
  <c r="P743" i="6"/>
  <c r="W742" i="6"/>
  <c r="V742" i="6"/>
  <c r="T742" i="6"/>
  <c r="S742" i="6"/>
  <c r="Q742" i="6"/>
  <c r="P742" i="6"/>
  <c r="W741" i="6"/>
  <c r="V741" i="6"/>
  <c r="T741" i="6"/>
  <c r="S741" i="6"/>
  <c r="Q741" i="6"/>
  <c r="P741" i="6"/>
  <c r="W740" i="6"/>
  <c r="V740" i="6"/>
  <c r="T740" i="6"/>
  <c r="S740" i="6"/>
  <c r="Q740" i="6"/>
  <c r="P740" i="6"/>
  <c r="W739" i="6"/>
  <c r="V739" i="6"/>
  <c r="T739" i="6"/>
  <c r="S739" i="6"/>
  <c r="Q739" i="6"/>
  <c r="P739" i="6"/>
  <c r="W738" i="6"/>
  <c r="V738" i="6"/>
  <c r="T738" i="6"/>
  <c r="S738" i="6"/>
  <c r="Q738" i="6"/>
  <c r="P738" i="6"/>
  <c r="W737" i="6"/>
  <c r="V737" i="6"/>
  <c r="T737" i="6"/>
  <c r="S737" i="6"/>
  <c r="Q737" i="6"/>
  <c r="P737" i="6"/>
  <c r="W736" i="6"/>
  <c r="V736" i="6"/>
  <c r="T736" i="6"/>
  <c r="S736" i="6"/>
  <c r="Q736" i="6"/>
  <c r="P736" i="6"/>
  <c r="W735" i="6"/>
  <c r="V735" i="6"/>
  <c r="T735" i="6"/>
  <c r="S735" i="6"/>
  <c r="Q735" i="6"/>
  <c r="P735" i="6"/>
  <c r="W734" i="6"/>
  <c r="V734" i="6"/>
  <c r="T734" i="6"/>
  <c r="S734" i="6"/>
  <c r="Q734" i="6"/>
  <c r="P734" i="6"/>
  <c r="W733" i="6"/>
  <c r="V733" i="6"/>
  <c r="T733" i="6"/>
  <c r="S733" i="6"/>
  <c r="Q733" i="6"/>
  <c r="P733" i="6"/>
  <c r="W732" i="6"/>
  <c r="V732" i="6"/>
  <c r="T732" i="6"/>
  <c r="S732" i="6"/>
  <c r="Q732" i="6"/>
  <c r="P732" i="6"/>
  <c r="W731" i="6"/>
  <c r="V731" i="6"/>
  <c r="T731" i="6"/>
  <c r="S731" i="6"/>
  <c r="Q731" i="6"/>
  <c r="P731" i="6"/>
  <c r="W730" i="6"/>
  <c r="V730" i="6"/>
  <c r="T730" i="6"/>
  <c r="S730" i="6"/>
  <c r="Q730" i="6"/>
  <c r="P730" i="6"/>
  <c r="W729" i="6"/>
  <c r="V729" i="6"/>
  <c r="T729" i="6"/>
  <c r="S729" i="6"/>
  <c r="Q729" i="6"/>
  <c r="P729" i="6"/>
  <c r="W728" i="6"/>
  <c r="V728" i="6"/>
  <c r="T728" i="6"/>
  <c r="S728" i="6"/>
  <c r="Q728" i="6"/>
  <c r="P728" i="6"/>
  <c r="W727" i="6"/>
  <c r="V727" i="6"/>
  <c r="T727" i="6"/>
  <c r="S727" i="6"/>
  <c r="Q727" i="6"/>
  <c r="P727" i="6"/>
  <c r="W726" i="6"/>
  <c r="V726" i="6"/>
  <c r="T726" i="6"/>
  <c r="S726" i="6"/>
  <c r="Q726" i="6"/>
  <c r="P726" i="6"/>
  <c r="W725" i="6"/>
  <c r="V725" i="6"/>
  <c r="T725" i="6"/>
  <c r="S725" i="6"/>
  <c r="Q725" i="6"/>
  <c r="P725" i="6"/>
  <c r="W724" i="6"/>
  <c r="V724" i="6"/>
  <c r="T724" i="6"/>
  <c r="S724" i="6"/>
  <c r="Q724" i="6"/>
  <c r="P724" i="6"/>
  <c r="W723" i="6"/>
  <c r="V723" i="6"/>
  <c r="T723" i="6"/>
  <c r="S723" i="6"/>
  <c r="Q723" i="6"/>
  <c r="P723" i="6"/>
  <c r="W722" i="6"/>
  <c r="V722" i="6"/>
  <c r="T722" i="6"/>
  <c r="S722" i="6"/>
  <c r="Q722" i="6"/>
  <c r="P722" i="6"/>
  <c r="W721" i="6"/>
  <c r="V721" i="6"/>
  <c r="T721" i="6"/>
  <c r="S721" i="6"/>
  <c r="Q721" i="6"/>
  <c r="P721" i="6"/>
  <c r="W720" i="6"/>
  <c r="V720" i="6"/>
  <c r="T720" i="6"/>
  <c r="S720" i="6"/>
  <c r="Q720" i="6"/>
  <c r="P720" i="6"/>
  <c r="W719" i="6"/>
  <c r="V719" i="6"/>
  <c r="T719" i="6"/>
  <c r="S719" i="6"/>
  <c r="Q719" i="6"/>
  <c r="P719" i="6"/>
  <c r="W718" i="6"/>
  <c r="V718" i="6"/>
  <c r="T718" i="6"/>
  <c r="S718" i="6"/>
  <c r="Q718" i="6"/>
  <c r="P718" i="6"/>
  <c r="W717" i="6"/>
  <c r="V717" i="6"/>
  <c r="T717" i="6"/>
  <c r="S717" i="6"/>
  <c r="Q717" i="6"/>
  <c r="P717" i="6"/>
  <c r="W716" i="6"/>
  <c r="V716" i="6"/>
  <c r="T716" i="6"/>
  <c r="S716" i="6"/>
  <c r="Q716" i="6"/>
  <c r="P716" i="6"/>
  <c r="W715" i="6"/>
  <c r="V715" i="6"/>
  <c r="T715" i="6"/>
  <c r="S715" i="6"/>
  <c r="Q715" i="6"/>
  <c r="P715" i="6"/>
  <c r="W714" i="6"/>
  <c r="V714" i="6"/>
  <c r="T714" i="6"/>
  <c r="S714" i="6"/>
  <c r="Q714" i="6"/>
  <c r="P714" i="6"/>
  <c r="W713" i="6"/>
  <c r="V713" i="6"/>
  <c r="T713" i="6"/>
  <c r="S713" i="6"/>
  <c r="Q713" i="6"/>
  <c r="P713" i="6"/>
  <c r="W712" i="6"/>
  <c r="V712" i="6"/>
  <c r="T712" i="6"/>
  <c r="S712" i="6"/>
  <c r="Q712" i="6"/>
  <c r="P712" i="6"/>
  <c r="W711" i="6"/>
  <c r="V711" i="6"/>
  <c r="T711" i="6"/>
  <c r="S711" i="6"/>
  <c r="Q711" i="6"/>
  <c r="P711" i="6"/>
  <c r="W710" i="6"/>
  <c r="V710" i="6"/>
  <c r="T710" i="6"/>
  <c r="S710" i="6"/>
  <c r="Q710" i="6"/>
  <c r="P710" i="6"/>
  <c r="W709" i="6"/>
  <c r="V709" i="6"/>
  <c r="T709" i="6"/>
  <c r="S709" i="6"/>
  <c r="Q709" i="6"/>
  <c r="P709" i="6"/>
  <c r="W708" i="6"/>
  <c r="V708" i="6"/>
  <c r="T708" i="6"/>
  <c r="S708" i="6"/>
  <c r="Q708" i="6"/>
  <c r="P708" i="6"/>
  <c r="W707" i="6"/>
  <c r="V707" i="6"/>
  <c r="T707" i="6"/>
  <c r="S707" i="6"/>
  <c r="Q707" i="6"/>
  <c r="P707" i="6"/>
  <c r="W706" i="6"/>
  <c r="V706" i="6"/>
  <c r="T706" i="6"/>
  <c r="S706" i="6"/>
  <c r="Q706" i="6"/>
  <c r="P706" i="6"/>
  <c r="W705" i="6"/>
  <c r="V705" i="6"/>
  <c r="T705" i="6"/>
  <c r="S705" i="6"/>
  <c r="Q705" i="6"/>
  <c r="P705" i="6"/>
  <c r="W704" i="6"/>
  <c r="V704" i="6"/>
  <c r="T704" i="6"/>
  <c r="S704" i="6"/>
  <c r="Q704" i="6"/>
  <c r="P704" i="6"/>
  <c r="W703" i="6"/>
  <c r="V703" i="6"/>
  <c r="T703" i="6"/>
  <c r="S703" i="6"/>
  <c r="Q703" i="6"/>
  <c r="P703" i="6"/>
  <c r="W702" i="6"/>
  <c r="V702" i="6"/>
  <c r="T702" i="6"/>
  <c r="S702" i="6"/>
  <c r="Q702" i="6"/>
  <c r="P702" i="6"/>
  <c r="W701" i="6"/>
  <c r="V701" i="6"/>
  <c r="T701" i="6"/>
  <c r="S701" i="6"/>
  <c r="Q701" i="6"/>
  <c r="P701" i="6"/>
  <c r="W700" i="6"/>
  <c r="V700" i="6"/>
  <c r="T700" i="6"/>
  <c r="S700" i="6"/>
  <c r="Q700" i="6"/>
  <c r="P700" i="6"/>
  <c r="W699" i="6"/>
  <c r="V699" i="6"/>
  <c r="T699" i="6"/>
  <c r="S699" i="6"/>
  <c r="Q699" i="6"/>
  <c r="P699" i="6"/>
  <c r="W698" i="6"/>
  <c r="V698" i="6"/>
  <c r="T698" i="6"/>
  <c r="S698" i="6"/>
  <c r="Q698" i="6"/>
  <c r="P698" i="6"/>
  <c r="W697" i="6"/>
  <c r="V697" i="6"/>
  <c r="T697" i="6"/>
  <c r="S697" i="6"/>
  <c r="Q697" i="6"/>
  <c r="P697" i="6"/>
  <c r="W696" i="6"/>
  <c r="V696" i="6"/>
  <c r="T696" i="6"/>
  <c r="S696" i="6"/>
  <c r="Q696" i="6"/>
  <c r="P696" i="6"/>
  <c r="W695" i="6"/>
  <c r="V695" i="6"/>
  <c r="T695" i="6"/>
  <c r="S695" i="6"/>
  <c r="Q695" i="6"/>
  <c r="P695" i="6"/>
  <c r="W694" i="6"/>
  <c r="V694" i="6"/>
  <c r="T694" i="6"/>
  <c r="S694" i="6"/>
  <c r="Q694" i="6"/>
  <c r="P694" i="6"/>
  <c r="W693" i="6"/>
  <c r="V693" i="6"/>
  <c r="T693" i="6"/>
  <c r="S693" i="6"/>
  <c r="Q693" i="6"/>
  <c r="P693" i="6"/>
  <c r="W692" i="6"/>
  <c r="V692" i="6"/>
  <c r="T692" i="6"/>
  <c r="S692" i="6"/>
  <c r="Q692" i="6"/>
  <c r="P692" i="6"/>
  <c r="W691" i="6"/>
  <c r="V691" i="6"/>
  <c r="T691" i="6"/>
  <c r="S691" i="6"/>
  <c r="Q691" i="6"/>
  <c r="P691" i="6"/>
  <c r="W690" i="6"/>
  <c r="V690" i="6"/>
  <c r="T690" i="6"/>
  <c r="S690" i="6"/>
  <c r="Q690" i="6"/>
  <c r="P690" i="6"/>
  <c r="W689" i="6"/>
  <c r="V689" i="6"/>
  <c r="T689" i="6"/>
  <c r="S689" i="6"/>
  <c r="Q689" i="6"/>
  <c r="P689" i="6"/>
  <c r="W688" i="6"/>
  <c r="V688" i="6"/>
  <c r="T688" i="6"/>
  <c r="S688" i="6"/>
  <c r="Q688" i="6"/>
  <c r="P688" i="6"/>
  <c r="W687" i="6"/>
  <c r="V687" i="6"/>
  <c r="T687" i="6"/>
  <c r="S687" i="6"/>
  <c r="Q687" i="6"/>
  <c r="P687" i="6"/>
  <c r="W686" i="6"/>
  <c r="V686" i="6"/>
  <c r="T686" i="6"/>
  <c r="S686" i="6"/>
  <c r="Q686" i="6"/>
  <c r="P686" i="6"/>
  <c r="W685" i="6"/>
  <c r="V685" i="6"/>
  <c r="T685" i="6"/>
  <c r="S685" i="6"/>
  <c r="Q685" i="6"/>
  <c r="P685" i="6"/>
  <c r="W684" i="6"/>
  <c r="V684" i="6"/>
  <c r="T684" i="6"/>
  <c r="S684" i="6"/>
  <c r="Q684" i="6"/>
  <c r="P684" i="6"/>
  <c r="W683" i="6"/>
  <c r="V683" i="6"/>
  <c r="T683" i="6"/>
  <c r="S683" i="6"/>
  <c r="Q683" i="6"/>
  <c r="P683" i="6"/>
  <c r="W682" i="6"/>
  <c r="V682" i="6"/>
  <c r="T682" i="6"/>
  <c r="S682" i="6"/>
  <c r="Q682" i="6"/>
  <c r="P682" i="6"/>
  <c r="W681" i="6"/>
  <c r="V681" i="6"/>
  <c r="T681" i="6"/>
  <c r="S681" i="6"/>
  <c r="Q681" i="6"/>
  <c r="P681" i="6"/>
  <c r="W680" i="6"/>
  <c r="V680" i="6"/>
  <c r="T680" i="6"/>
  <c r="S680" i="6"/>
  <c r="Q680" i="6"/>
  <c r="P680" i="6"/>
  <c r="W679" i="6"/>
  <c r="V679" i="6"/>
  <c r="T679" i="6"/>
  <c r="S679" i="6"/>
  <c r="Q679" i="6"/>
  <c r="P679" i="6"/>
  <c r="W678" i="6"/>
  <c r="V678" i="6"/>
  <c r="T678" i="6"/>
  <c r="S678" i="6"/>
  <c r="Q678" i="6"/>
  <c r="P678" i="6"/>
  <c r="W677" i="6"/>
  <c r="V677" i="6"/>
  <c r="T677" i="6"/>
  <c r="S677" i="6"/>
  <c r="Q677" i="6"/>
  <c r="P677" i="6"/>
  <c r="W676" i="6"/>
  <c r="V676" i="6"/>
  <c r="T676" i="6"/>
  <c r="S676" i="6"/>
  <c r="Q676" i="6"/>
  <c r="P676" i="6"/>
  <c r="W675" i="6"/>
  <c r="V675" i="6"/>
  <c r="T675" i="6"/>
  <c r="S675" i="6"/>
  <c r="Q675" i="6"/>
  <c r="P675" i="6"/>
  <c r="W674" i="6"/>
  <c r="V674" i="6"/>
  <c r="T674" i="6"/>
  <c r="S674" i="6"/>
  <c r="Q674" i="6"/>
  <c r="P674" i="6"/>
  <c r="W673" i="6"/>
  <c r="V673" i="6"/>
  <c r="T673" i="6"/>
  <c r="S673" i="6"/>
  <c r="Q673" i="6"/>
  <c r="P673" i="6"/>
  <c r="W672" i="6"/>
  <c r="V672" i="6"/>
  <c r="T672" i="6"/>
  <c r="S672" i="6"/>
  <c r="Q672" i="6"/>
  <c r="P672" i="6"/>
  <c r="W671" i="6"/>
  <c r="V671" i="6"/>
  <c r="T671" i="6"/>
  <c r="S671" i="6"/>
  <c r="Q671" i="6"/>
  <c r="P671" i="6"/>
  <c r="W670" i="6"/>
  <c r="V670" i="6"/>
  <c r="T670" i="6"/>
  <c r="S670" i="6"/>
  <c r="Q670" i="6"/>
  <c r="P670" i="6"/>
  <c r="W669" i="6"/>
  <c r="V669" i="6"/>
  <c r="T669" i="6"/>
  <c r="S669" i="6"/>
  <c r="Q669" i="6"/>
  <c r="P669" i="6"/>
  <c r="W668" i="6"/>
  <c r="V668" i="6"/>
  <c r="T668" i="6"/>
  <c r="S668" i="6"/>
  <c r="Q668" i="6"/>
  <c r="P668" i="6"/>
  <c r="W667" i="6"/>
  <c r="V667" i="6"/>
  <c r="T667" i="6"/>
  <c r="S667" i="6"/>
  <c r="Q667" i="6"/>
  <c r="P667" i="6"/>
  <c r="W666" i="6"/>
  <c r="V666" i="6"/>
  <c r="T666" i="6"/>
  <c r="S666" i="6"/>
  <c r="Q666" i="6"/>
  <c r="P666" i="6"/>
  <c r="W665" i="6"/>
  <c r="V665" i="6"/>
  <c r="T665" i="6"/>
  <c r="S665" i="6"/>
  <c r="Q665" i="6"/>
  <c r="P665" i="6"/>
  <c r="W664" i="6"/>
  <c r="V664" i="6"/>
  <c r="T664" i="6"/>
  <c r="S664" i="6"/>
  <c r="Q664" i="6"/>
  <c r="P664" i="6"/>
  <c r="W663" i="6"/>
  <c r="V663" i="6"/>
  <c r="T663" i="6"/>
  <c r="S663" i="6"/>
  <c r="Q663" i="6"/>
  <c r="P663" i="6"/>
  <c r="W662" i="6"/>
  <c r="V662" i="6"/>
  <c r="T662" i="6"/>
  <c r="S662" i="6"/>
  <c r="Q662" i="6"/>
  <c r="P662" i="6"/>
  <c r="W661" i="6"/>
  <c r="V661" i="6"/>
  <c r="T661" i="6"/>
  <c r="S661" i="6"/>
  <c r="Q661" i="6"/>
  <c r="P661" i="6"/>
  <c r="T660" i="6"/>
  <c r="S660" i="6"/>
  <c r="Q660" i="6"/>
  <c r="P660" i="6"/>
  <c r="T659" i="6"/>
  <c r="S659" i="6"/>
  <c r="Q659" i="6"/>
  <c r="P659" i="6"/>
  <c r="T658" i="6"/>
  <c r="S658" i="6"/>
  <c r="Q658" i="6"/>
  <c r="P658" i="6"/>
  <c r="T657" i="6"/>
  <c r="S657" i="6"/>
  <c r="Q657" i="6"/>
  <c r="P657" i="6"/>
  <c r="T656" i="6"/>
  <c r="S656" i="6"/>
  <c r="Q656" i="6"/>
  <c r="P656" i="6"/>
  <c r="T655" i="6"/>
  <c r="S655" i="6"/>
  <c r="Q655" i="6"/>
  <c r="P655" i="6"/>
  <c r="T654" i="6"/>
  <c r="S654" i="6"/>
  <c r="Q654" i="6"/>
  <c r="P654" i="6"/>
  <c r="T653" i="6"/>
  <c r="S653" i="6"/>
  <c r="Q653" i="6"/>
  <c r="P653" i="6"/>
  <c r="T652" i="6"/>
  <c r="S652" i="6"/>
  <c r="Q652" i="6"/>
  <c r="P652" i="6"/>
  <c r="T651" i="6"/>
  <c r="S651" i="6"/>
  <c r="Q651" i="6"/>
  <c r="P651" i="6"/>
  <c r="T650" i="6"/>
  <c r="S650" i="6"/>
  <c r="Q650" i="6"/>
  <c r="P650" i="6"/>
  <c r="T649" i="6"/>
  <c r="S649" i="6"/>
  <c r="Q649" i="6"/>
  <c r="P649" i="6"/>
  <c r="AX17" i="2"/>
  <c r="AY21" i="2"/>
  <c r="AY23" i="2"/>
  <c r="AY25" i="2"/>
  <c r="AY27" i="2"/>
  <c r="AY29" i="2"/>
  <c r="AY31" i="2"/>
  <c r="AY33" i="2"/>
  <c r="AY35" i="2"/>
  <c r="AY37" i="2"/>
  <c r="AY39" i="2"/>
  <c r="AY41" i="2"/>
  <c r="AX41" i="2" s="1"/>
  <c r="AZ41" i="2" s="1"/>
  <c r="AY43" i="2"/>
  <c r="AX43" i="2" s="1"/>
  <c r="AZ43" i="2" s="1"/>
  <c r="AY45" i="2"/>
  <c r="AX45" i="2" s="1"/>
  <c r="AZ45" i="2" s="1"/>
  <c r="AY47" i="2"/>
  <c r="AX47" i="2" s="1"/>
  <c r="AZ47" i="2" s="1"/>
  <c r="AY49" i="2"/>
  <c r="AX49" i="2" s="1"/>
  <c r="AZ49" i="2" s="1"/>
  <c r="AY51" i="2"/>
  <c r="AX51" i="2" s="1"/>
  <c r="AZ51" i="2" s="1"/>
  <c r="AY53" i="2"/>
  <c r="AX53" i="2" s="1"/>
  <c r="AZ53" i="2" s="1"/>
  <c r="AY55" i="2"/>
  <c r="AX55" i="2" s="1"/>
  <c r="AZ55" i="2" s="1"/>
  <c r="AY57" i="2"/>
  <c r="AX57" i="2" s="1"/>
  <c r="AZ57" i="2" s="1"/>
  <c r="AY19" i="2"/>
  <c r="AX39" i="2" l="1"/>
  <c r="AZ39" i="2" s="1"/>
  <c r="A5" i="3" l="1"/>
  <c r="A4" i="3"/>
  <c r="EC25" i="2"/>
  <c r="EC27" i="2"/>
  <c r="EC29" i="2"/>
  <c r="EB33" i="2"/>
  <c r="EC33" i="2"/>
  <c r="EB35" i="2"/>
  <c r="EC35" i="2"/>
  <c r="EB37" i="2"/>
  <c r="EC37" i="2"/>
  <c r="EB39" i="2"/>
  <c r="EC39" i="2"/>
  <c r="EB41" i="2"/>
  <c r="EC41" i="2"/>
  <c r="EB43" i="2"/>
  <c r="EC43" i="2"/>
  <c r="EB45" i="2"/>
  <c r="EC45" i="2"/>
  <c r="EB47" i="2"/>
  <c r="EC47" i="2"/>
  <c r="EB49" i="2"/>
  <c r="EC49" i="2"/>
  <c r="EB51" i="2"/>
  <c r="EC51" i="2"/>
  <c r="EB53" i="2"/>
  <c r="EC53" i="2"/>
  <c r="EB55" i="2"/>
  <c r="EC55" i="2"/>
  <c r="EB57" i="2"/>
  <c r="EC57" i="2"/>
  <c r="B17" i="3" l="1"/>
  <c r="B18" i="3"/>
  <c r="B19" i="3"/>
  <c r="B20" i="3"/>
  <c r="B21" i="3"/>
  <c r="B22" i="3"/>
  <c r="B23" i="3"/>
  <c r="B24" i="3"/>
  <c r="B25" i="3"/>
  <c r="B26" i="3"/>
  <c r="B27" i="3"/>
  <c r="B28" i="3"/>
  <c r="B29" i="3"/>
  <c r="B30" i="3"/>
  <c r="B31" i="3"/>
  <c r="B32" i="3"/>
  <c r="B33" i="3"/>
  <c r="B34" i="3"/>
  <c r="B35" i="3"/>
  <c r="B36" i="3"/>
  <c r="B37" i="3"/>
  <c r="B38" i="3"/>
  <c r="B39" i="3"/>
  <c r="B40" i="3"/>
  <c r="B16" i="3"/>
  <c r="FO22" i="2"/>
  <c r="FO24" i="2" s="1"/>
  <c r="FO26" i="2" s="1"/>
  <c r="FO28" i="2" s="1"/>
  <c r="FO30" i="2" s="1"/>
  <c r="FO32" i="2" s="1"/>
  <c r="FO34" i="2" s="1"/>
  <c r="FO36" i="2" s="1"/>
  <c r="FO38" i="2" s="1"/>
  <c r="FO40" i="2" s="1"/>
  <c r="FO42" i="2" s="1"/>
  <c r="FO44" i="2" s="1"/>
  <c r="FO46" i="2" s="1"/>
  <c r="FO48" i="2" s="1"/>
  <c r="FO50" i="2" s="1"/>
  <c r="FO52" i="2" s="1"/>
  <c r="FO54" i="2" s="1"/>
  <c r="FO56" i="2" s="1"/>
  <c r="FO58" i="2" s="1"/>
  <c r="V35" i="3"/>
  <c r="V34" i="3"/>
  <c r="V33" i="3"/>
  <c r="V32" i="3"/>
  <c r="V31" i="3"/>
  <c r="V30" i="3"/>
  <c r="V29" i="3"/>
  <c r="V28" i="3"/>
  <c r="V27" i="3"/>
  <c r="V26" i="3"/>
  <c r="V25" i="3"/>
  <c r="V24" i="3"/>
  <c r="V23" i="3"/>
  <c r="V22" i="3"/>
  <c r="V21" i="3"/>
  <c r="V20" i="3"/>
  <c r="V19" i="3"/>
  <c r="V18" i="3"/>
  <c r="V17" i="3"/>
  <c r="V16" i="3"/>
  <c r="HD22" i="2"/>
  <c r="HD21" i="2" s="1"/>
  <c r="HD24" i="2"/>
  <c r="HD26" i="2"/>
  <c r="HD25" i="2" s="1"/>
  <c r="HD28" i="2"/>
  <c r="HD27" i="2" s="1"/>
  <c r="HD30" i="2"/>
  <c r="HD29" i="2" s="1"/>
  <c r="HD32" i="2"/>
  <c r="HD31" i="2" s="1"/>
  <c r="HD34" i="2"/>
  <c r="HD33" i="2" s="1"/>
  <c r="HD36" i="2"/>
  <c r="HD35" i="2" s="1"/>
  <c r="HD38" i="2"/>
  <c r="HD37" i="2" s="1"/>
  <c r="HD40" i="2"/>
  <c r="HD39" i="2" s="1"/>
  <c r="HD42" i="2"/>
  <c r="HD41" i="2" s="1"/>
  <c r="HD44" i="2"/>
  <c r="HD43" i="2" s="1"/>
  <c r="HD46" i="2"/>
  <c r="HD45" i="2" s="1"/>
  <c r="HD48" i="2"/>
  <c r="HD47" i="2" s="1"/>
  <c r="HD50" i="2"/>
  <c r="HD49" i="2" s="1"/>
  <c r="HD52" i="2"/>
  <c r="HD51" i="2" s="1"/>
  <c r="HD54" i="2"/>
  <c r="HD53" i="2" s="1"/>
  <c r="HD56" i="2"/>
  <c r="HD55" i="2" s="1"/>
  <c r="HD58" i="2"/>
  <c r="HD57" i="2" s="1"/>
  <c r="HD60" i="2"/>
  <c r="HD59" i="2" s="1"/>
  <c r="HD62" i="2"/>
  <c r="HD61" i="2" s="1"/>
  <c r="HD64" i="2"/>
  <c r="HD63" i="2" s="1"/>
  <c r="HD66" i="2"/>
  <c r="HD65" i="2" s="1"/>
  <c r="HD68" i="2"/>
  <c r="HD67" i="2" s="1"/>
  <c r="HD20" i="2"/>
  <c r="HD19" i="2" s="1"/>
  <c r="AO60" i="2"/>
  <c r="AO62" i="2"/>
  <c r="AO64" i="2"/>
  <c r="AO66" i="2"/>
  <c r="AO68" i="2"/>
  <c r="F33" i="3" l="1"/>
  <c r="F34" i="3"/>
  <c r="F32" i="3"/>
  <c r="F31" i="3"/>
  <c r="F35" i="3"/>
  <c r="F30" i="3"/>
  <c r="F29" i="3"/>
  <c r="EF59" i="2"/>
  <c r="EG59" i="2" s="1"/>
  <c r="EF61" i="2"/>
  <c r="EG61" i="2" s="1"/>
  <c r="EF63" i="2"/>
  <c r="EG63" i="2" s="1"/>
  <c r="EF65" i="2"/>
  <c r="EG65" i="2" s="1"/>
  <c r="EF67" i="2"/>
  <c r="EG67" i="2" s="1"/>
  <c r="F36" i="3"/>
  <c r="F37" i="3"/>
  <c r="F38" i="3"/>
  <c r="F39" i="3"/>
  <c r="F40" i="3"/>
  <c r="BG53" i="2"/>
  <c r="BG55" i="2"/>
  <c r="BG57" i="2"/>
  <c r="BG59" i="2"/>
  <c r="BG61" i="2"/>
  <c r="BG63" i="2"/>
  <c r="BG65" i="2"/>
  <c r="BG67" i="2"/>
  <c r="R40" i="3" l="1"/>
  <c r="R36" i="3"/>
  <c r="R32" i="3"/>
  <c r="R28" i="3"/>
  <c r="R24" i="3"/>
  <c r="R39" i="3"/>
  <c r="R35" i="3"/>
  <c r="R31" i="3"/>
  <c r="R27" i="3"/>
  <c r="R23" i="3"/>
  <c r="R19" i="3"/>
  <c r="R20" i="3"/>
  <c r="R38" i="3"/>
  <c r="R34" i="3"/>
  <c r="R30" i="3"/>
  <c r="R26" i="3"/>
  <c r="R22" i="3"/>
  <c r="R18" i="3"/>
  <c r="R37" i="3"/>
  <c r="R33" i="3"/>
  <c r="R29" i="3"/>
  <c r="R25" i="3"/>
  <c r="R21" i="3"/>
  <c r="R17" i="3"/>
  <c r="R16" i="3"/>
  <c r="S36" i="3"/>
  <c r="S37" i="3"/>
  <c r="S38" i="3"/>
  <c r="S39" i="3"/>
  <c r="S40" i="3"/>
  <c r="BV3" i="2" l="1"/>
  <c r="CN5" i="2"/>
  <c r="CN6" i="2"/>
  <c r="CN7" i="2"/>
  <c r="CN4" i="2"/>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 i="1"/>
  <c r="BV4" i="2" l="1"/>
  <c r="BV5" i="2"/>
  <c r="AN16" i="2" s="1"/>
  <c r="R15" i="3" s="1"/>
  <c r="E38" i="2" l="1"/>
  <c r="DG68" i="2"/>
  <c r="DF68" i="2"/>
  <c r="DE68" i="2"/>
  <c r="DD68" i="2"/>
  <c r="DG66" i="2"/>
  <c r="DF66" i="2"/>
  <c r="DE66" i="2"/>
  <c r="DD66" i="2"/>
  <c r="DG64" i="2"/>
  <c r="DF64" i="2"/>
  <c r="DE64" i="2"/>
  <c r="DD64" i="2"/>
  <c r="DG62" i="2"/>
  <c r="DF62" i="2"/>
  <c r="DE62" i="2"/>
  <c r="DD62" i="2"/>
  <c r="DG60" i="2"/>
  <c r="DF60" i="2"/>
  <c r="DE60" i="2"/>
  <c r="DD60" i="2"/>
  <c r="DG58" i="2"/>
  <c r="DF58" i="2"/>
  <c r="DE58" i="2"/>
  <c r="DD58" i="2"/>
  <c r="DG56" i="2"/>
  <c r="DF56" i="2"/>
  <c r="DE56" i="2"/>
  <c r="DD56" i="2"/>
  <c r="DG54" i="2"/>
  <c r="DF54" i="2"/>
  <c r="DE54" i="2"/>
  <c r="DD54" i="2"/>
  <c r="DG52" i="2"/>
  <c r="DF52" i="2"/>
  <c r="DE52" i="2"/>
  <c r="DD52" i="2"/>
  <c r="DG50" i="2"/>
  <c r="DF50" i="2"/>
  <c r="DE50" i="2"/>
  <c r="DD50" i="2"/>
  <c r="DG48" i="2"/>
  <c r="DF48" i="2"/>
  <c r="DE48" i="2"/>
  <c r="DD48" i="2"/>
  <c r="DG46" i="2"/>
  <c r="DF46" i="2"/>
  <c r="DE46" i="2"/>
  <c r="DD46" i="2"/>
  <c r="DG44" i="2"/>
  <c r="DF44" i="2"/>
  <c r="DE44" i="2"/>
  <c r="DD44" i="2"/>
  <c r="DG42" i="2"/>
  <c r="DF42" i="2"/>
  <c r="DE42" i="2"/>
  <c r="DD42" i="2"/>
  <c r="DG40" i="2"/>
  <c r="DF40" i="2"/>
  <c r="DE40" i="2"/>
  <c r="DD40" i="2"/>
  <c r="DG38" i="2"/>
  <c r="DF38" i="2"/>
  <c r="DE38" i="2"/>
  <c r="DD38" i="2"/>
  <c r="DG36" i="2"/>
  <c r="DF36" i="2"/>
  <c r="DE36" i="2"/>
  <c r="DD36" i="2"/>
  <c r="DG34" i="2"/>
  <c r="DF34" i="2"/>
  <c r="DE34" i="2"/>
  <c r="DD34" i="2"/>
  <c r="DG32" i="2"/>
  <c r="DF32" i="2"/>
  <c r="DE32" i="2"/>
  <c r="DD32" i="2"/>
  <c r="DG30" i="2"/>
  <c r="DF30" i="2"/>
  <c r="DE30" i="2"/>
  <c r="DD30" i="2"/>
  <c r="DG28" i="2"/>
  <c r="DF28" i="2"/>
  <c r="DE28" i="2"/>
  <c r="DD28" i="2"/>
  <c r="DG26" i="2"/>
  <c r="DF26" i="2"/>
  <c r="DE26" i="2"/>
  <c r="DD26" i="2"/>
  <c r="DG24" i="2"/>
  <c r="DF24" i="2"/>
  <c r="DE24" i="2"/>
  <c r="DD24" i="2"/>
  <c r="DG22" i="2"/>
  <c r="DF22" i="2"/>
  <c r="DE22" i="2"/>
  <c r="DD22" i="2"/>
  <c r="DG20" i="2"/>
  <c r="DF20" i="2"/>
  <c r="DE20" i="2"/>
  <c r="DD20" i="2"/>
  <c r="CT21" i="2"/>
  <c r="CT23" i="2"/>
  <c r="CT25" i="2"/>
  <c r="CT27" i="2"/>
  <c r="CT29" i="2"/>
  <c r="CT31" i="2"/>
  <c r="CT33" i="2"/>
  <c r="CT35" i="2"/>
  <c r="CT37" i="2"/>
  <c r="CT39" i="2"/>
  <c r="CT41" i="2"/>
  <c r="CT43" i="2"/>
  <c r="CT45" i="2"/>
  <c r="CT47" i="2"/>
  <c r="CT49" i="2"/>
  <c r="CT51" i="2"/>
  <c r="CT53" i="2"/>
  <c r="CT55" i="2"/>
  <c r="CT57" i="2"/>
  <c r="CT59" i="2"/>
  <c r="CT61" i="2"/>
  <c r="CT63" i="2"/>
  <c r="CT65" i="2"/>
  <c r="CT67" i="2"/>
  <c r="CT19" i="2"/>
  <c r="BV6" i="2"/>
  <c r="GR95" i="2" l="1"/>
  <c r="GU95" i="2"/>
  <c r="FS105" i="2"/>
  <c r="FT105" i="2"/>
  <c r="FV105" i="2"/>
  <c r="FX105" i="2"/>
  <c r="FZ105" i="2"/>
  <c r="GA105" i="2"/>
  <c r="GC105" i="2"/>
  <c r="GE105" i="2"/>
  <c r="GH105" i="2"/>
  <c r="GK105" i="2"/>
  <c r="GN105" i="2"/>
  <c r="GP105" i="2"/>
  <c r="GR105" i="2"/>
  <c r="GT105" i="2"/>
  <c r="GS115" i="2"/>
  <c r="FR120" i="2"/>
  <c r="FU120" i="2"/>
  <c r="FW120" i="2"/>
  <c r="FY120" i="2"/>
  <c r="GA120" i="2"/>
  <c r="GC120" i="2"/>
  <c r="GE120" i="2"/>
  <c r="GF120" i="2"/>
  <c r="GH120" i="2"/>
  <c r="GJ120" i="2"/>
  <c r="GM120" i="2"/>
  <c r="GN120" i="2"/>
  <c r="GP120" i="2"/>
  <c r="GS120" i="2"/>
  <c r="GT120" i="2"/>
  <c r="GS140" i="2"/>
  <c r="FU145" i="2"/>
  <c r="FW145" i="2"/>
  <c r="FY145" i="2"/>
  <c r="GB145" i="2"/>
  <c r="GP165" i="2"/>
  <c r="GS165" i="2"/>
  <c r="GU165" i="2"/>
  <c r="FR95" i="2"/>
  <c r="FS95" i="2"/>
  <c r="FT95" i="2"/>
  <c r="FU95" i="2"/>
  <c r="FV95" i="2"/>
  <c r="FW95" i="2"/>
  <c r="FX95" i="2"/>
  <c r="FY95" i="2"/>
  <c r="FZ95" i="2"/>
  <c r="GA95" i="2"/>
  <c r="GB95" i="2"/>
  <c r="GC95" i="2"/>
  <c r="GD95" i="2"/>
  <c r="GE95" i="2"/>
  <c r="GF95" i="2"/>
  <c r="GG95" i="2"/>
  <c r="GH95" i="2"/>
  <c r="GI95" i="2"/>
  <c r="GJ95" i="2"/>
  <c r="GK95" i="2"/>
  <c r="GL95" i="2"/>
  <c r="GM95" i="2"/>
  <c r="GN95" i="2"/>
  <c r="GO95" i="2"/>
  <c r="GP95" i="2"/>
  <c r="GQ95" i="2"/>
  <c r="GS95" i="2"/>
  <c r="GT95" i="2"/>
  <c r="FR105" i="2"/>
  <c r="FU105" i="2"/>
  <c r="FW105" i="2"/>
  <c r="FY105" i="2"/>
  <c r="GB105" i="2"/>
  <c r="GD105" i="2"/>
  <c r="GF105" i="2"/>
  <c r="GG105" i="2"/>
  <c r="GI105" i="2"/>
  <c r="GJ105" i="2"/>
  <c r="GL105" i="2"/>
  <c r="GM105" i="2"/>
  <c r="GO105" i="2"/>
  <c r="GQ105" i="2"/>
  <c r="GS105" i="2"/>
  <c r="GU105" i="2"/>
  <c r="GT115" i="2"/>
  <c r="GU115" i="2"/>
  <c r="FS120" i="2"/>
  <c r="FT120" i="2"/>
  <c r="FV120" i="2"/>
  <c r="FX120" i="2"/>
  <c r="FZ120" i="2"/>
  <c r="GB120" i="2"/>
  <c r="GD120" i="2"/>
  <c r="GG120" i="2"/>
  <c r="GI120" i="2"/>
  <c r="GK120" i="2"/>
  <c r="GL120" i="2"/>
  <c r="GO120" i="2"/>
  <c r="GQ120" i="2"/>
  <c r="GR120" i="2"/>
  <c r="GU120" i="2"/>
  <c r="GT140" i="2"/>
  <c r="GU145" i="2"/>
  <c r="FV145" i="2"/>
  <c r="FX145" i="2"/>
  <c r="FZ145" i="2"/>
  <c r="GD145" i="2"/>
  <c r="GQ165" i="2"/>
  <c r="GR165" i="2"/>
  <c r="GT165" i="2"/>
  <c r="GC145" i="2"/>
  <c r="GA145" i="2"/>
  <c r="FR130" i="2"/>
  <c r="FS130" i="2"/>
  <c r="FT130" i="2"/>
  <c r="FU130" i="2"/>
  <c r="FV130" i="2"/>
  <c r="FW130" i="2"/>
  <c r="FX130" i="2"/>
  <c r="FY130" i="2"/>
  <c r="FZ130" i="2"/>
  <c r="GA130" i="2"/>
  <c r="GB130" i="2"/>
  <c r="GC130" i="2"/>
  <c r="GD130" i="2"/>
  <c r="GE130" i="2"/>
  <c r="GF130" i="2"/>
  <c r="GG130" i="2"/>
  <c r="GH130" i="2"/>
  <c r="GI130" i="2"/>
  <c r="GJ130" i="2"/>
  <c r="GK130" i="2"/>
  <c r="GL130" i="2"/>
  <c r="GM130" i="2"/>
  <c r="GN130" i="2"/>
  <c r="GO130" i="2"/>
  <c r="GP130" i="2"/>
  <c r="GQ130" i="2"/>
  <c r="GR130" i="2"/>
  <c r="GS130" i="2"/>
  <c r="GT130" i="2"/>
  <c r="GU130" i="2"/>
  <c r="FX140" i="2"/>
  <c r="FY140" i="2"/>
  <c r="FZ140" i="2"/>
  <c r="GA140" i="2"/>
  <c r="GB140" i="2"/>
  <c r="GC140" i="2"/>
  <c r="GD140" i="2"/>
  <c r="GE140" i="2"/>
  <c r="GF140" i="2"/>
  <c r="GG140" i="2"/>
  <c r="GH140" i="2"/>
  <c r="GI140" i="2"/>
  <c r="GJ140" i="2"/>
  <c r="GK140" i="2"/>
  <c r="GL140" i="2"/>
  <c r="GM140" i="2"/>
  <c r="GN140" i="2"/>
  <c r="GO140" i="2"/>
  <c r="GP140" i="2"/>
  <c r="GQ140" i="2"/>
  <c r="GR140" i="2"/>
  <c r="GU140" i="2"/>
  <c r="FT145" i="2"/>
  <c r="FR155" i="2"/>
  <c r="FS155" i="2"/>
  <c r="FT155" i="2"/>
  <c r="FU155" i="2"/>
  <c r="FV155" i="2"/>
  <c r="FW155" i="2"/>
  <c r="FX155" i="2"/>
  <c r="FY155" i="2"/>
  <c r="FZ155" i="2"/>
  <c r="GA155" i="2"/>
  <c r="GB155" i="2"/>
  <c r="GC155" i="2"/>
  <c r="GD155" i="2"/>
  <c r="GE155" i="2"/>
  <c r="GF155" i="2"/>
  <c r="GG155" i="2"/>
  <c r="GH155" i="2"/>
  <c r="GI155" i="2"/>
  <c r="GJ155" i="2"/>
  <c r="GK155" i="2"/>
  <c r="GL155" i="2"/>
  <c r="GM155" i="2"/>
  <c r="GN155" i="2"/>
  <c r="GO155" i="2"/>
  <c r="GP155" i="2"/>
  <c r="GQ155" i="2"/>
  <c r="GR155" i="2"/>
  <c r="GS155" i="2"/>
  <c r="GT155" i="2"/>
  <c r="GU155" i="2"/>
  <c r="FR165" i="2"/>
  <c r="FS165" i="2"/>
  <c r="FT165" i="2"/>
  <c r="FU165" i="2"/>
  <c r="FV165" i="2"/>
  <c r="FW165" i="2"/>
  <c r="FX165" i="2"/>
  <c r="FY165" i="2"/>
  <c r="FZ165" i="2"/>
  <c r="GA165" i="2"/>
  <c r="GB165" i="2"/>
  <c r="GC165" i="2"/>
  <c r="GD165" i="2"/>
  <c r="GE165" i="2"/>
  <c r="GF165" i="2"/>
  <c r="GG165" i="2"/>
  <c r="GH165" i="2"/>
  <c r="GI165" i="2"/>
  <c r="GJ165" i="2"/>
  <c r="GK165" i="2"/>
  <c r="GL165" i="2"/>
  <c r="GM165" i="2"/>
  <c r="GN165" i="2"/>
  <c r="GO165" i="2"/>
  <c r="FW110" i="2"/>
  <c r="FV110" i="2"/>
  <c r="FZ110" i="2"/>
  <c r="GA110" i="2"/>
  <c r="GH145" i="2"/>
  <c r="GN145" i="2"/>
  <c r="GG145" i="2"/>
  <c r="GJ145" i="2"/>
  <c r="GP145" i="2"/>
  <c r="FW135" i="2"/>
  <c r="FR135" i="2"/>
  <c r="FS135" i="2"/>
  <c r="FT135" i="2"/>
  <c r="FU135" i="2"/>
  <c r="FV135" i="2"/>
  <c r="FY135" i="2"/>
  <c r="GB135" i="2"/>
  <c r="GC135" i="2"/>
  <c r="GE145" i="2"/>
  <c r="GI145" i="2"/>
  <c r="GL145" i="2"/>
  <c r="GO145" i="2"/>
  <c r="FY100" i="2"/>
  <c r="GC100" i="2"/>
  <c r="GF100" i="2"/>
  <c r="GJ100" i="2"/>
  <c r="GS100" i="2"/>
  <c r="GA135" i="2"/>
  <c r="GQ110" i="2"/>
  <c r="GR110" i="2"/>
  <c r="GS110" i="2"/>
  <c r="GT110" i="2"/>
  <c r="GU110" i="2"/>
  <c r="FZ135" i="2"/>
  <c r="FW125" i="2"/>
  <c r="FS125" i="2"/>
  <c r="FT125" i="2"/>
  <c r="FU125" i="2"/>
  <c r="FV125" i="2"/>
  <c r="GD135" i="2"/>
  <c r="GE135" i="2"/>
  <c r="GF135" i="2"/>
  <c r="GG135" i="2"/>
  <c r="GH135" i="2"/>
  <c r="GI135" i="2"/>
  <c r="GJ135" i="2"/>
  <c r="GK135" i="2"/>
  <c r="GL135" i="2"/>
  <c r="GM135" i="2"/>
  <c r="GN135" i="2"/>
  <c r="GO135" i="2"/>
  <c r="GP135" i="2"/>
  <c r="GQ135" i="2"/>
  <c r="GR135" i="2"/>
  <c r="GS135" i="2"/>
  <c r="GT135" i="2"/>
  <c r="GU135" i="2"/>
  <c r="GF110" i="2"/>
  <c r="GG110" i="2"/>
  <c r="GH110" i="2"/>
  <c r="GI110" i="2"/>
  <c r="GJ110" i="2"/>
  <c r="GK110" i="2"/>
  <c r="FR100" i="2"/>
  <c r="FV100" i="2"/>
  <c r="GA100" i="2"/>
  <c r="GH100" i="2"/>
  <c r="GP110" i="2"/>
  <c r="GL110" i="2"/>
  <c r="FR110" i="2"/>
  <c r="GD110" i="2"/>
  <c r="GB110" i="2"/>
  <c r="GC110" i="2"/>
  <c r="GE110" i="2"/>
  <c r="FS145" i="2"/>
  <c r="FR145" i="2"/>
  <c r="GS145" i="2"/>
  <c r="FT170" i="2"/>
  <c r="FS170" i="2"/>
  <c r="FR170" i="2"/>
  <c r="GU100" i="2"/>
  <c r="FZ125" i="2"/>
  <c r="GA125" i="2"/>
  <c r="GB125" i="2"/>
  <c r="GC125" i="2"/>
  <c r="GD125" i="2"/>
  <c r="GE125" i="2"/>
  <c r="GF125" i="2"/>
  <c r="GG125" i="2"/>
  <c r="FR125" i="2"/>
  <c r="FX125" i="2"/>
  <c r="FY125" i="2"/>
  <c r="GL160" i="2"/>
  <c r="FS160" i="2"/>
  <c r="FU160" i="2"/>
  <c r="FW160" i="2"/>
  <c r="FZ160" i="2"/>
  <c r="GB160" i="2"/>
  <c r="GC160" i="2"/>
  <c r="GE160" i="2"/>
  <c r="GT160" i="2"/>
  <c r="GR160" i="2"/>
  <c r="GK160" i="2"/>
  <c r="GH160" i="2"/>
  <c r="GO160" i="2"/>
  <c r="FR160" i="2"/>
  <c r="FT160" i="2"/>
  <c r="FV160" i="2"/>
  <c r="FX160" i="2"/>
  <c r="GA160" i="2"/>
  <c r="GS160" i="2"/>
  <c r="FZ115" i="2"/>
  <c r="GD115" i="2"/>
  <c r="GF115" i="2"/>
  <c r="GJ115" i="2"/>
  <c r="GL115" i="2"/>
  <c r="GN115" i="2"/>
  <c r="GQ115" i="2"/>
  <c r="GI125" i="2"/>
  <c r="GK125" i="2"/>
  <c r="GN125" i="2"/>
  <c r="GP125" i="2"/>
  <c r="GU125" i="2"/>
  <c r="GJ150" i="2"/>
  <c r="GM150" i="2"/>
  <c r="GR150" i="2"/>
  <c r="GT150" i="2"/>
  <c r="FW170" i="2"/>
  <c r="GP170" i="2"/>
  <c r="GD170" i="2"/>
  <c r="GL170" i="2"/>
  <c r="FU170" i="2"/>
  <c r="GF170" i="2"/>
  <c r="GS170" i="2"/>
  <c r="GM170" i="2"/>
  <c r="GT145" i="2"/>
  <c r="GE100" i="2"/>
  <c r="GL100" i="2"/>
  <c r="GN100" i="2"/>
  <c r="GR100" i="2"/>
  <c r="GN110" i="2"/>
  <c r="GD160" i="2"/>
  <c r="GG160" i="2"/>
  <c r="GJ160" i="2"/>
  <c r="GN160" i="2"/>
  <c r="GQ160" i="2"/>
  <c r="GU160" i="2"/>
  <c r="FY160" i="2"/>
  <c r="GF160" i="2"/>
  <c r="GI160" i="2"/>
  <c r="GM160" i="2"/>
  <c r="GP160" i="2"/>
  <c r="FY115" i="2"/>
  <c r="GA115" i="2"/>
  <c r="GC115" i="2"/>
  <c r="GE115" i="2"/>
  <c r="GG115" i="2"/>
  <c r="GI115" i="2"/>
  <c r="GK115" i="2"/>
  <c r="GM115" i="2"/>
  <c r="GP115" i="2"/>
  <c r="GH125" i="2"/>
  <c r="GJ125" i="2"/>
  <c r="GM125" i="2"/>
  <c r="GO125" i="2"/>
  <c r="GR125" i="2"/>
  <c r="GT125" i="2"/>
  <c r="FR140" i="2"/>
  <c r="GL150" i="2"/>
  <c r="GN150" i="2"/>
  <c r="GQ150" i="2"/>
  <c r="GR145" i="2"/>
  <c r="GC170" i="2"/>
  <c r="GN170" i="2"/>
  <c r="GT170" i="2"/>
  <c r="FY170" i="2"/>
  <c r="GH170" i="2"/>
  <c r="GQ170" i="2"/>
  <c r="GO170" i="2"/>
  <c r="FX170" i="2"/>
  <c r="GI170" i="2"/>
  <c r="GR170" i="2"/>
  <c r="FW100" i="2"/>
  <c r="FT100" i="2"/>
  <c r="GB100" i="2"/>
  <c r="GG100" i="2"/>
  <c r="GP100" i="2"/>
  <c r="GT100" i="2"/>
  <c r="GM110" i="2"/>
  <c r="FR115" i="2"/>
  <c r="FS115" i="2"/>
  <c r="FT115" i="2"/>
  <c r="FU115" i="2"/>
  <c r="FV115" i="2"/>
  <c r="FW115" i="2"/>
  <c r="FX115" i="2"/>
  <c r="GB115" i="2"/>
  <c r="GH115" i="2"/>
  <c r="GO115" i="2"/>
  <c r="GR115" i="2"/>
  <c r="GL125" i="2"/>
  <c r="GQ125" i="2"/>
  <c r="GS125" i="2"/>
  <c r="GI150" i="2"/>
  <c r="GP150" i="2"/>
  <c r="GU150" i="2"/>
  <c r="GG170" i="2"/>
  <c r="FZ170" i="2"/>
  <c r="GE170" i="2"/>
  <c r="FS110" i="2"/>
  <c r="FX110" i="2"/>
  <c r="GQ145" i="2"/>
  <c r="GM145" i="2"/>
  <c r="GO110" i="2"/>
  <c r="FS140" i="2"/>
  <c r="FT140" i="2"/>
  <c r="FU140" i="2"/>
  <c r="FV140" i="2"/>
  <c r="FR150" i="2"/>
  <c r="FS150" i="2"/>
  <c r="FT150" i="2"/>
  <c r="FU150" i="2"/>
  <c r="FV150" i="2"/>
  <c r="FW150" i="2"/>
  <c r="FX150" i="2"/>
  <c r="FY150" i="2"/>
  <c r="FZ150" i="2"/>
  <c r="GA150" i="2"/>
  <c r="GB150" i="2"/>
  <c r="GC150" i="2"/>
  <c r="GD150" i="2"/>
  <c r="GE150" i="2"/>
  <c r="GF150" i="2"/>
  <c r="GG150" i="2"/>
  <c r="GH150" i="2"/>
  <c r="GK150" i="2"/>
  <c r="GO150" i="2"/>
  <c r="GS150" i="2"/>
  <c r="FW140" i="2"/>
  <c r="GB170" i="2"/>
  <c r="GK170" i="2"/>
  <c r="FV170" i="2"/>
  <c r="GU170" i="2"/>
  <c r="GJ170" i="2"/>
  <c r="GA170" i="2"/>
  <c r="FT110" i="2"/>
  <c r="FU110" i="2"/>
  <c r="FY110" i="2"/>
  <c r="GF145" i="2"/>
  <c r="GK145" i="2"/>
  <c r="FX135" i="2"/>
  <c r="FS100" i="2"/>
  <c r="FU100" i="2"/>
  <c r="FX100" i="2"/>
  <c r="FZ100" i="2"/>
  <c r="GD100" i="2"/>
  <c r="GI100" i="2"/>
  <c r="GK100" i="2"/>
  <c r="GM100" i="2"/>
  <c r="GO100" i="2"/>
  <c r="GQ100" i="2"/>
  <c r="EF37" i="2"/>
  <c r="EG37" i="2" s="1"/>
  <c r="ET37" i="2"/>
  <c r="FF37" i="2"/>
  <c r="EK37" i="2"/>
  <c r="FI37" i="2"/>
  <c r="EU37" i="2"/>
  <c r="FG37" i="2"/>
  <c r="EW37" i="2"/>
  <c r="EV37" i="2"/>
  <c r="FH37" i="2"/>
  <c r="EL37" i="2"/>
  <c r="EX37" i="2"/>
  <c r="EX38" i="2" s="1"/>
  <c r="EX91" i="2" s="1"/>
  <c r="FJ37" i="2"/>
  <c r="EM37" i="2"/>
  <c r="EY37" i="2"/>
  <c r="FK37" i="2"/>
  <c r="EN37" i="2"/>
  <c r="FL37" i="2"/>
  <c r="EO37" i="2"/>
  <c r="FM37" i="2"/>
  <c r="ER37" i="2"/>
  <c r="ES37" i="2"/>
  <c r="EP37" i="2"/>
  <c r="FN37" i="2"/>
  <c r="FN38" i="2" s="1"/>
  <c r="FN91" i="2" s="1"/>
  <c r="EQ37" i="2"/>
  <c r="FB37" i="2"/>
  <c r="EZ37" i="2"/>
  <c r="FA37" i="2"/>
  <c r="FC37" i="2"/>
  <c r="FE37" i="2"/>
  <c r="FD37" i="2"/>
  <c r="AW37" i="2"/>
  <c r="I38" i="2"/>
  <c r="H37" i="2" s="1"/>
  <c r="BI37" i="2"/>
  <c r="HK37" i="2"/>
  <c r="DK37" i="2"/>
  <c r="DL37" i="2"/>
  <c r="HI37" i="2"/>
  <c r="BM37" i="2"/>
  <c r="BQ37" i="2"/>
  <c r="BL38" i="2"/>
  <c r="BP38" i="2"/>
  <c r="BT38" i="2"/>
  <c r="BX38" i="2"/>
  <c r="CB38" i="2"/>
  <c r="CF38" i="2"/>
  <c r="CJ38" i="2"/>
  <c r="BJ37" i="2"/>
  <c r="BN37" i="2"/>
  <c r="BR37" i="2"/>
  <c r="BI38" i="2"/>
  <c r="BM38" i="2"/>
  <c r="BQ38" i="2"/>
  <c r="BU38" i="2"/>
  <c r="BY38" i="2"/>
  <c r="CC38" i="2"/>
  <c r="CG38" i="2"/>
  <c r="CK38" i="2"/>
  <c r="BL37" i="2"/>
  <c r="BK38" i="2"/>
  <c r="BS38" i="2"/>
  <c r="CA38" i="2"/>
  <c r="CI38" i="2"/>
  <c r="BP37" i="2"/>
  <c r="BO38" i="2"/>
  <c r="BW38" i="2"/>
  <c r="CE38" i="2"/>
  <c r="BJ38" i="2"/>
  <c r="BZ38" i="2"/>
  <c r="BO37" i="2"/>
  <c r="BN38" i="2"/>
  <c r="BV38" i="2"/>
  <c r="CD38" i="2"/>
  <c r="CL38" i="2"/>
  <c r="BK37" i="2"/>
  <c r="BR38" i="2"/>
  <c r="CH38" i="2"/>
  <c r="DZ37" i="2"/>
  <c r="EA37" i="2"/>
  <c r="H38" i="2"/>
  <c r="F25" i="3" s="1"/>
  <c r="DN37" i="2"/>
  <c r="DD37" i="2"/>
  <c r="DE37" i="2"/>
  <c r="DF37" i="2"/>
  <c r="DG37" i="2"/>
  <c r="FQ138" i="2" l="1" a="1"/>
  <c r="FQ113" i="2" a="1"/>
  <c r="FQ118" i="2" a="1"/>
  <c r="FQ103" i="2" a="1"/>
  <c r="FQ128" i="2" a="1"/>
  <c r="FQ98" i="2" a="1"/>
  <c r="FQ153" i="2" a="1"/>
  <c r="FQ163" i="2" a="1"/>
  <c r="FQ133" i="2" a="1"/>
  <c r="FQ108" i="2" a="1"/>
  <c r="FQ143" i="2" a="1"/>
  <c r="FQ168" i="2" a="1"/>
  <c r="FQ123" i="2" a="1"/>
  <c r="FQ158" i="2" a="1"/>
  <c r="FQ148" i="2" a="1"/>
  <c r="FQ93" i="2" a="1"/>
  <c r="FP105" i="2" a="1"/>
  <c r="FQ105" i="2" s="1" a="1"/>
  <c r="FP130" i="2" a="1"/>
  <c r="FQ130" i="2" s="1" a="1"/>
  <c r="FP155" i="2" a="1"/>
  <c r="FQ155" i="2" s="1" a="1"/>
  <c r="FP165" i="2" a="1"/>
  <c r="FQ165" i="2" s="1" a="1"/>
  <c r="FP120" i="2" a="1"/>
  <c r="FQ120" i="2" s="1" a="1"/>
  <c r="FP95" i="2" a="1"/>
  <c r="FQ95" i="2" s="1" a="1"/>
  <c r="FP135" i="2" a="1"/>
  <c r="FQ135" i="2" s="1" a="1"/>
  <c r="FP100" i="2" a="1"/>
  <c r="FQ100" i="2" s="1" a="1"/>
  <c r="FP110" i="2" a="1"/>
  <c r="FQ110" i="2" s="1" a="1"/>
  <c r="FP145" i="2" a="1"/>
  <c r="FQ145" i="2" s="1" a="1"/>
  <c r="FP170" i="2" a="1"/>
  <c r="FQ170" i="2" s="1" a="1"/>
  <c r="FP125" i="2" a="1"/>
  <c r="FQ125" i="2" s="1" a="1"/>
  <c r="FP160" i="2" a="1"/>
  <c r="FQ160" i="2" s="1" a="1"/>
  <c r="FP140" i="2" a="1"/>
  <c r="FQ140" i="2" s="1" a="1"/>
  <c r="FP115" i="2" a="1"/>
  <c r="FQ115" i="2" s="1" a="1"/>
  <c r="FP150" i="2" a="1"/>
  <c r="FQ150" i="2" s="1" a="1"/>
  <c r="EM38" i="2"/>
  <c r="EM91" i="2" s="1"/>
  <c r="ER38" i="2"/>
  <c r="ER91" i="2" s="1"/>
  <c r="EV38" i="2"/>
  <c r="EV91" i="2" s="1"/>
  <c r="FH38" i="2"/>
  <c r="FH91" i="2" s="1"/>
  <c r="EW38" i="2"/>
  <c r="EW91" i="2" s="1"/>
  <c r="FD38" i="2"/>
  <c r="FD91" i="2" s="1"/>
  <c r="EO38" i="2"/>
  <c r="EO91" i="2" s="1"/>
  <c r="FG38" i="2"/>
  <c r="FG91" i="2" s="1"/>
  <c r="FE38" i="2"/>
  <c r="FE91" i="2" s="1"/>
  <c r="FL38" i="2"/>
  <c r="FL91" i="2" s="1"/>
  <c r="EU38" i="2"/>
  <c r="EU91" i="2" s="1"/>
  <c r="ES38" i="2"/>
  <c r="ES91" i="2" s="1"/>
  <c r="EP38" i="2"/>
  <c r="EP91" i="2" s="1"/>
  <c r="EN38" i="2"/>
  <c r="EN91" i="2" s="1"/>
  <c r="FA38" i="2"/>
  <c r="FA91" i="2" s="1"/>
  <c r="FK38" i="2"/>
  <c r="FK91" i="2" s="1"/>
  <c r="EK38" i="2"/>
  <c r="EK91" i="2" s="1"/>
  <c r="FM38" i="2"/>
  <c r="FM91" i="2" s="1"/>
  <c r="FI38" i="2"/>
  <c r="FI91" i="2" s="1"/>
  <c r="EZ38" i="2"/>
  <c r="EZ91" i="2" s="1"/>
  <c r="EY38" i="2"/>
  <c r="EY91" i="2" s="1"/>
  <c r="FF38" i="2"/>
  <c r="FF91" i="2" s="1"/>
  <c r="FB38" i="2"/>
  <c r="FB91" i="2" s="1"/>
  <c r="ET38" i="2"/>
  <c r="ET91" i="2" s="1"/>
  <c r="FC38" i="2"/>
  <c r="FC91" i="2" s="1"/>
  <c r="EQ38" i="2"/>
  <c r="EQ91" i="2" s="1"/>
  <c r="FJ38" i="2"/>
  <c r="FJ91" i="2" s="1"/>
  <c r="E25" i="3"/>
  <c r="DM37" i="2"/>
  <c r="HL37" i="2"/>
  <c r="HN37" i="2" s="1"/>
  <c r="HM37" i="2"/>
  <c r="BV37" i="2"/>
  <c r="CA37" i="2"/>
  <c r="CF37" i="2"/>
  <c r="CL37" i="2"/>
  <c r="BW37" i="2"/>
  <c r="CB37" i="2"/>
  <c r="CH37" i="2"/>
  <c r="BT37" i="2"/>
  <c r="CE37" i="2"/>
  <c r="BZ37" i="2"/>
  <c r="CJ37" i="2"/>
  <c r="BS37" i="2"/>
  <c r="BX37" i="2"/>
  <c r="CI37" i="2"/>
  <c r="CD37" i="2"/>
  <c r="BU37" i="2"/>
  <c r="CK37" i="2"/>
  <c r="BY37" i="2"/>
  <c r="CC37" i="2"/>
  <c r="CG37" i="2"/>
  <c r="GY37" i="2"/>
  <c r="GZ37" i="2"/>
  <c r="GW37" i="2"/>
  <c r="HA37" i="2"/>
  <c r="GX37" i="2"/>
  <c r="HB37" i="2"/>
  <c r="E34" i="2"/>
  <c r="E32" i="2"/>
  <c r="E30" i="2"/>
  <c r="E28" i="2"/>
  <c r="E26" i="2"/>
  <c r="E24" i="2"/>
  <c r="E22" i="2"/>
  <c r="E36" i="2"/>
  <c r="E40" i="2"/>
  <c r="E42" i="2"/>
  <c r="E44" i="2"/>
  <c r="E46" i="2"/>
  <c r="E48" i="2"/>
  <c r="E50" i="2"/>
  <c r="E52" i="2"/>
  <c r="E54" i="2"/>
  <c r="E56" i="2"/>
  <c r="E58" i="2"/>
  <c r="E60" i="2"/>
  <c r="E62" i="2"/>
  <c r="E64" i="2"/>
  <c r="E66" i="2"/>
  <c r="E68" i="2"/>
  <c r="E20" i="2"/>
  <c r="I20" i="2" s="1"/>
  <c r="G47" i="2"/>
  <c r="G53" i="2"/>
  <c r="G55" i="2"/>
  <c r="G57" i="2"/>
  <c r="G59" i="2"/>
  <c r="G61" i="2"/>
  <c r="G63" i="2"/>
  <c r="G65" i="2"/>
  <c r="G67" i="2"/>
  <c r="G19" i="2"/>
  <c r="I11" i="2"/>
  <c r="I10" i="2"/>
  <c r="CR21" i="2"/>
  <c r="CR25" i="2"/>
  <c r="CR27" i="2"/>
  <c r="CR29" i="2"/>
  <c r="CR19" i="2"/>
  <c r="FR78" i="2" l="1" a="1"/>
  <c r="FS78" i="2" a="1"/>
  <c r="FT78" i="2" a="1"/>
  <c r="FU78" i="2" a="1"/>
  <c r="FV78" i="2" a="1"/>
  <c r="FW78" i="2" a="1"/>
  <c r="FX78" i="2" a="1"/>
  <c r="FY78" i="2" a="1"/>
  <c r="FZ78" i="2" a="1"/>
  <c r="GA78" i="2" a="1"/>
  <c r="GB78" i="2" a="1"/>
  <c r="GC78" i="2" a="1"/>
  <c r="GD78" i="2" a="1"/>
  <c r="GE78" i="2" a="1"/>
  <c r="GF78" i="2" a="1"/>
  <c r="GG78" i="2" a="1"/>
  <c r="GH78" i="2" a="1"/>
  <c r="GI78" i="2" a="1"/>
  <c r="GJ78" i="2" a="1"/>
  <c r="GK78" i="2" a="1"/>
  <c r="GL78" i="2" a="1"/>
  <c r="GM78" i="2" a="1"/>
  <c r="GN78" i="2" a="1"/>
  <c r="GO78" i="2" a="1"/>
  <c r="GP78" i="2" a="1"/>
  <c r="GQ78" i="2" a="1"/>
  <c r="GR78" i="2" a="1"/>
  <c r="GS78" i="2" a="1"/>
  <c r="GT78" i="2" a="1"/>
  <c r="GU78" i="2" a="1"/>
  <c r="FR79" i="2" a="1"/>
  <c r="FS79" i="2" a="1"/>
  <c r="FT79" i="2" a="1"/>
  <c r="FU79" i="2" a="1"/>
  <c r="FV79" i="2" a="1"/>
  <c r="FW79" i="2" a="1"/>
  <c r="FX79" i="2" a="1"/>
  <c r="FY79" i="2" a="1"/>
  <c r="FZ79" i="2" a="1"/>
  <c r="GA79" i="2" a="1"/>
  <c r="GB79" i="2" a="1"/>
  <c r="GC79" i="2" a="1"/>
  <c r="GD79" i="2" a="1"/>
  <c r="GE79" i="2" a="1"/>
  <c r="GF79" i="2" a="1"/>
  <c r="GG79" i="2" a="1"/>
  <c r="GH79" i="2" a="1"/>
  <c r="GI79" i="2" a="1"/>
  <c r="GJ79" i="2" a="1"/>
  <c r="GK79" i="2" a="1"/>
  <c r="GL79" i="2" a="1"/>
  <c r="GM79" i="2" a="1"/>
  <c r="GN79" i="2" a="1"/>
  <c r="GO79" i="2" a="1"/>
  <c r="GP79" i="2" a="1"/>
  <c r="GQ79" i="2" a="1"/>
  <c r="GR79" i="2" a="1"/>
  <c r="GS79" i="2" a="1"/>
  <c r="GT79" i="2" a="1"/>
  <c r="GU79" i="2" a="1"/>
  <c r="FR83" i="2" a="1"/>
  <c r="FS83" i="2" a="1"/>
  <c r="FT83" i="2" a="1"/>
  <c r="FU83" i="2" a="1"/>
  <c r="FV83" i="2" a="1"/>
  <c r="FW83" i="2" a="1"/>
  <c r="FX83" i="2" a="1"/>
  <c r="FY83" i="2" a="1"/>
  <c r="FZ83" i="2" a="1"/>
  <c r="GA83" i="2" a="1"/>
  <c r="GB83" i="2" a="1"/>
  <c r="GC83" i="2" a="1"/>
  <c r="GD83" i="2" a="1"/>
  <c r="GE83" i="2" a="1"/>
  <c r="GF83" i="2" a="1"/>
  <c r="GG83" i="2" a="1"/>
  <c r="GH83" i="2" a="1"/>
  <c r="GI83" i="2" a="1"/>
  <c r="GJ83" i="2" a="1"/>
  <c r="GK83" i="2" a="1"/>
  <c r="GL83" i="2" a="1"/>
  <c r="GM83" i="2" a="1"/>
  <c r="GN83" i="2" a="1"/>
  <c r="GO83" i="2" a="1"/>
  <c r="GP83" i="2" a="1"/>
  <c r="GQ83" i="2" a="1"/>
  <c r="GR83" i="2" a="1"/>
  <c r="GS83" i="2" a="1"/>
  <c r="GT83" i="2" a="1"/>
  <c r="GU83" i="2" a="1"/>
  <c r="FR84" i="2" a="1"/>
  <c r="FS84" i="2" a="1"/>
  <c r="FT84" i="2" a="1"/>
  <c r="FU84" i="2" a="1"/>
  <c r="FV84" i="2" a="1"/>
  <c r="FW84" i="2" a="1"/>
  <c r="FX84" i="2" a="1"/>
  <c r="FY84" i="2" a="1"/>
  <c r="FZ84" i="2" a="1"/>
  <c r="GA84" i="2" a="1"/>
  <c r="GB84" i="2" a="1"/>
  <c r="GC84" i="2" a="1"/>
  <c r="GD84" i="2" a="1"/>
  <c r="GE84" i="2" a="1"/>
  <c r="GF84" i="2" a="1"/>
  <c r="GG84" i="2" a="1"/>
  <c r="GH84" i="2" a="1"/>
  <c r="GI84" i="2" a="1"/>
  <c r="GJ84" i="2" a="1"/>
  <c r="GK84" i="2" a="1"/>
  <c r="GL84" i="2" a="1"/>
  <c r="GM84" i="2" a="1"/>
  <c r="GN84" i="2" a="1"/>
  <c r="GO84" i="2" a="1"/>
  <c r="GP84" i="2" a="1"/>
  <c r="GQ84" i="2" a="1"/>
  <c r="GR84" i="2" a="1"/>
  <c r="GS84" i="2" a="1"/>
  <c r="GT84" i="2" a="1"/>
  <c r="GU84" i="2" a="1"/>
  <c r="FR88" i="2" a="1"/>
  <c r="FS88" i="2" a="1"/>
  <c r="FT88" i="2" a="1"/>
  <c r="FU88" i="2" a="1"/>
  <c r="FV88" i="2" a="1"/>
  <c r="FW88" i="2" a="1"/>
  <c r="FX88" i="2" a="1"/>
  <c r="FY88" i="2" a="1"/>
  <c r="FZ88" i="2" a="1"/>
  <c r="GA88" i="2" a="1"/>
  <c r="GB88" i="2" a="1"/>
  <c r="GC88" i="2" a="1"/>
  <c r="GD88" i="2" a="1"/>
  <c r="GE88" i="2" a="1"/>
  <c r="GF88" i="2" a="1"/>
  <c r="GG88" i="2" a="1"/>
  <c r="GH88" i="2" a="1"/>
  <c r="GI88" i="2" a="1"/>
  <c r="GJ88" i="2" a="1"/>
  <c r="GK88" i="2" a="1"/>
  <c r="GL88" i="2" a="1"/>
  <c r="GM88" i="2" a="1"/>
  <c r="GN88" i="2" a="1"/>
  <c r="GO88" i="2" a="1"/>
  <c r="GP88" i="2" a="1"/>
  <c r="GQ88" i="2" a="1"/>
  <c r="GR88" i="2" a="1"/>
  <c r="GS88" i="2" a="1"/>
  <c r="GT88" i="2" a="1"/>
  <c r="GU88" i="2" a="1"/>
  <c r="FR89" i="2" a="1"/>
  <c r="FS89" i="2" a="1"/>
  <c r="FT89" i="2" a="1"/>
  <c r="FU89" i="2" a="1"/>
  <c r="FV89" i="2" a="1"/>
  <c r="FW89" i="2" a="1"/>
  <c r="FX89" i="2" a="1"/>
  <c r="FY89" i="2" a="1"/>
  <c r="FZ89" i="2" a="1"/>
  <c r="GA89" i="2" a="1"/>
  <c r="GB89" i="2" a="1"/>
  <c r="GC89" i="2" a="1"/>
  <c r="GD89" i="2" a="1"/>
  <c r="GE89" i="2" a="1"/>
  <c r="GF89" i="2" a="1"/>
  <c r="GG89" i="2" a="1"/>
  <c r="GH89" i="2" a="1"/>
  <c r="GI89" i="2" a="1"/>
  <c r="GJ89" i="2" a="1"/>
  <c r="GK89" i="2" a="1"/>
  <c r="GL89" i="2" a="1"/>
  <c r="GM89" i="2" a="1"/>
  <c r="GN89" i="2" a="1"/>
  <c r="GO89" i="2" a="1"/>
  <c r="GP89" i="2" a="1"/>
  <c r="GQ89" i="2" a="1"/>
  <c r="GR89" i="2" a="1"/>
  <c r="GS89" i="2" a="1"/>
  <c r="GT89" i="2" a="1"/>
  <c r="GU89" i="2" a="1"/>
  <c r="EF19" i="2"/>
  <c r="EG19" i="2" s="1"/>
  <c r="GD74" i="2" a="1"/>
  <c r="GP74" i="2" a="1"/>
  <c r="FU73" i="2" a="1"/>
  <c r="GG73" i="2" a="1"/>
  <c r="GS73" i="2" a="1"/>
  <c r="GE74" i="2" a="1"/>
  <c r="FV73" i="2" a="1"/>
  <c r="GT73" i="2" a="1"/>
  <c r="GR74" i="2" a="1"/>
  <c r="GG74" i="2" a="1"/>
  <c r="FX73" i="2" a="1"/>
  <c r="FY73" i="2" a="1"/>
  <c r="FY74" i="2" a="1"/>
  <c r="GB73" i="2" a="1"/>
  <c r="GF73" i="2" a="1"/>
  <c r="GQ74" i="2" a="1"/>
  <c r="GH73" i="2" a="1"/>
  <c r="GF74" i="2" a="1"/>
  <c r="FW73" i="2" a="1"/>
  <c r="GI73" i="2" a="1"/>
  <c r="GS74" i="2" a="1"/>
  <c r="GJ73" i="2" a="1"/>
  <c r="GU73" i="2" a="1"/>
  <c r="FV74" i="2" a="1"/>
  <c r="GH74" i="2" a="1"/>
  <c r="GT74" i="2" a="1"/>
  <c r="GK73" i="2" a="1"/>
  <c r="FR73" i="2" a="1"/>
  <c r="GK74" i="2" a="1"/>
  <c r="FS74" i="2" a="1"/>
  <c r="GN73" i="2" a="1"/>
  <c r="GC74" i="2" a="1"/>
  <c r="FT73" i="2" a="1"/>
  <c r="GR73" i="2" a="1"/>
  <c r="FW74" i="2" a="1"/>
  <c r="GI74" i="2" a="1"/>
  <c r="GU74" i="2" a="1"/>
  <c r="FZ73" i="2" a="1"/>
  <c r="GL73" i="2" a="1"/>
  <c r="FX74" i="2" a="1"/>
  <c r="GJ74" i="2" a="1"/>
  <c r="FR74" i="2" a="1"/>
  <c r="GA73" i="2" a="1"/>
  <c r="GM73" i="2" a="1"/>
  <c r="GO74" i="2" a="1"/>
  <c r="FZ74" i="2" a="1"/>
  <c r="GL74" i="2" a="1"/>
  <c r="FT74" i="2" a="1"/>
  <c r="GC73" i="2" a="1"/>
  <c r="GO73" i="2" a="1"/>
  <c r="GA74" i="2" a="1"/>
  <c r="GM74" i="2" a="1"/>
  <c r="FU74" i="2" a="1"/>
  <c r="GD73" i="2" a="1"/>
  <c r="GP73" i="2" a="1"/>
  <c r="GB74" i="2" a="1"/>
  <c r="GN74" i="2" a="1"/>
  <c r="FS73" i="2" a="1"/>
  <c r="GE73" i="2" a="1"/>
  <c r="GQ73" i="2" a="1"/>
  <c r="EU41" i="2"/>
  <c r="FG41" i="2"/>
  <c r="EV41" i="2"/>
  <c r="FH41" i="2"/>
  <c r="FJ41" i="2"/>
  <c r="EK41" i="2"/>
  <c r="EW41" i="2"/>
  <c r="FI41" i="2"/>
  <c r="EX41" i="2"/>
  <c r="EL41" i="2"/>
  <c r="EM41" i="2"/>
  <c r="EY41" i="2"/>
  <c r="FK41" i="2"/>
  <c r="EN41" i="2"/>
  <c r="EZ41" i="2"/>
  <c r="FL41" i="2"/>
  <c r="EO41" i="2"/>
  <c r="FM41" i="2"/>
  <c r="EP41" i="2"/>
  <c r="ER41" i="2"/>
  <c r="FN41" i="2"/>
  <c r="ES41" i="2"/>
  <c r="ET41" i="2"/>
  <c r="EQ41" i="2"/>
  <c r="FB41" i="2"/>
  <c r="FC41" i="2"/>
  <c r="FD41" i="2"/>
  <c r="FE41" i="2"/>
  <c r="FA41" i="2"/>
  <c r="FF41" i="2"/>
  <c r="AW57" i="2"/>
  <c r="BA57" i="2" s="1"/>
  <c r="X35" i="3" s="1"/>
  <c r="EN57" i="2"/>
  <c r="EZ57" i="2"/>
  <c r="FL57" i="2"/>
  <c r="FN57" i="2"/>
  <c r="EO57" i="2"/>
  <c r="EO58" i="2" s="1"/>
  <c r="EO111" i="2" s="1"/>
  <c r="FA57" i="2"/>
  <c r="FM57" i="2"/>
  <c r="FB57" i="2"/>
  <c r="EQ57" i="2"/>
  <c r="EP57" i="2"/>
  <c r="ER57" i="2"/>
  <c r="FD57" i="2"/>
  <c r="EL57" i="2"/>
  <c r="FG57" i="2"/>
  <c r="EM57" i="2"/>
  <c r="FH57" i="2"/>
  <c r="FJ57" i="2"/>
  <c r="FJ58" i="2" s="1"/>
  <c r="FJ111" i="2" s="1"/>
  <c r="EU57" i="2"/>
  <c r="FK57" i="2"/>
  <c r="EV57" i="2"/>
  <c r="ES57" i="2"/>
  <c r="FI57" i="2"/>
  <c r="ET57" i="2"/>
  <c r="EY57" i="2"/>
  <c r="EK57" i="2"/>
  <c r="EW57" i="2"/>
  <c r="EX57" i="2"/>
  <c r="FC57" i="2"/>
  <c r="FE57" i="2"/>
  <c r="FE58" i="2" s="1"/>
  <c r="FE111" i="2" s="1"/>
  <c r="FF57" i="2"/>
  <c r="I58" i="2"/>
  <c r="H57" i="2" s="1"/>
  <c r="BI57" i="2"/>
  <c r="EF23" i="2"/>
  <c r="EG23" i="2" s="1"/>
  <c r="EP23" i="2"/>
  <c r="FB23" i="2"/>
  <c r="FN23" i="2"/>
  <c r="EQ23" i="2"/>
  <c r="FC23" i="2"/>
  <c r="ER23" i="2"/>
  <c r="FD23" i="2"/>
  <c r="ES23" i="2"/>
  <c r="FE23" i="2"/>
  <c r="ET23" i="2"/>
  <c r="FF23" i="2"/>
  <c r="EU23" i="2"/>
  <c r="FG23" i="2"/>
  <c r="FH23" i="2"/>
  <c r="EK23" i="2"/>
  <c r="FI23" i="2"/>
  <c r="FL23" i="2"/>
  <c r="EO23" i="2"/>
  <c r="FM23" i="2"/>
  <c r="EV23" i="2"/>
  <c r="EL23" i="2"/>
  <c r="FJ23" i="2"/>
  <c r="EM23" i="2"/>
  <c r="FK23" i="2"/>
  <c r="EN23" i="2"/>
  <c r="EW23" i="2"/>
  <c r="EX23" i="2"/>
  <c r="EY23" i="2"/>
  <c r="EZ23" i="2"/>
  <c r="FA23" i="2"/>
  <c r="EL58" i="2"/>
  <c r="EL111" i="2" s="1"/>
  <c r="AW53" i="2"/>
  <c r="BA53" i="2" s="1"/>
  <c r="X33" i="3" s="1"/>
  <c r="EP53" i="2"/>
  <c r="FB53" i="2"/>
  <c r="FN53" i="2"/>
  <c r="FD53" i="2"/>
  <c r="ES53" i="2"/>
  <c r="FE53" i="2"/>
  <c r="EQ53" i="2"/>
  <c r="FC53" i="2"/>
  <c r="ER53" i="2"/>
  <c r="ET53" i="2"/>
  <c r="FF53" i="2"/>
  <c r="FF54" i="2" s="1"/>
  <c r="FF107" i="2" s="1"/>
  <c r="EY53" i="2"/>
  <c r="EZ53" i="2"/>
  <c r="EK53" i="2"/>
  <c r="EL53" i="2"/>
  <c r="FI53" i="2"/>
  <c r="FA53" i="2"/>
  <c r="FG53" i="2"/>
  <c r="FH53" i="2"/>
  <c r="EM53" i="2"/>
  <c r="FK53" i="2"/>
  <c r="FM53" i="2"/>
  <c r="EN53" i="2"/>
  <c r="EN54" i="2" s="1"/>
  <c r="EN107" i="2" s="1"/>
  <c r="EW53" i="2"/>
  <c r="FJ53" i="2"/>
  <c r="FL53" i="2"/>
  <c r="EX53" i="2"/>
  <c r="EV53" i="2"/>
  <c r="EO53" i="2"/>
  <c r="EU53" i="2"/>
  <c r="BI53" i="2"/>
  <c r="I54" i="2"/>
  <c r="H53" i="2"/>
  <c r="EF27" i="2"/>
  <c r="EG27" i="2" s="1"/>
  <c r="EU27" i="2"/>
  <c r="FG27" i="2"/>
  <c r="FJ27" i="2"/>
  <c r="EV27" i="2"/>
  <c r="FH27" i="2"/>
  <c r="EX27" i="2"/>
  <c r="EK27" i="2"/>
  <c r="EW27" i="2"/>
  <c r="FI27" i="2"/>
  <c r="EL27" i="2"/>
  <c r="EM27" i="2"/>
  <c r="EY27" i="2"/>
  <c r="FK27" i="2"/>
  <c r="EN27" i="2"/>
  <c r="EZ27" i="2"/>
  <c r="FL27" i="2"/>
  <c r="EO27" i="2"/>
  <c r="FM27" i="2"/>
  <c r="EP27" i="2"/>
  <c r="FN27" i="2"/>
  <c r="EQ27" i="2"/>
  <c r="ER27" i="2"/>
  <c r="ES27" i="2"/>
  <c r="ET27" i="2"/>
  <c r="FB27" i="2"/>
  <c r="FD27" i="2"/>
  <c r="FE27" i="2"/>
  <c r="FF27" i="2"/>
  <c r="FA27" i="2"/>
  <c r="FC27" i="2"/>
  <c r="I26" i="2"/>
  <c r="H25" i="2" s="1"/>
  <c r="EV25" i="2"/>
  <c r="FH25" i="2"/>
  <c r="FK25" i="2"/>
  <c r="EK25" i="2"/>
  <c r="EW25" i="2"/>
  <c r="FI25" i="2"/>
  <c r="EY25" i="2"/>
  <c r="EL25" i="2"/>
  <c r="EX25" i="2"/>
  <c r="FJ25" i="2"/>
  <c r="EM25" i="2"/>
  <c r="EN25" i="2"/>
  <c r="EZ25" i="2"/>
  <c r="FL25" i="2"/>
  <c r="EO25" i="2"/>
  <c r="FA25" i="2"/>
  <c r="FM25" i="2"/>
  <c r="FB25" i="2"/>
  <c r="FC25" i="2"/>
  <c r="FF25" i="2"/>
  <c r="FG25" i="2"/>
  <c r="FD25" i="2"/>
  <c r="FE25" i="2"/>
  <c r="EQ25" i="2"/>
  <c r="ES25" i="2"/>
  <c r="FN25" i="2"/>
  <c r="ER25" i="2"/>
  <c r="ET25" i="2"/>
  <c r="EP25" i="2"/>
  <c r="EU25" i="2"/>
  <c r="EU26" i="2" s="1"/>
  <c r="EU79" i="2" s="1"/>
  <c r="EF31" i="2"/>
  <c r="EG31" i="2" s="1"/>
  <c r="EQ31" i="2"/>
  <c r="FC31" i="2"/>
  <c r="ER31" i="2"/>
  <c r="FD31" i="2"/>
  <c r="ET31" i="2"/>
  <c r="ES31" i="2"/>
  <c r="FE31" i="2"/>
  <c r="FF31" i="2"/>
  <c r="EU31" i="2"/>
  <c r="FG31" i="2"/>
  <c r="EV31" i="2"/>
  <c r="FH31" i="2"/>
  <c r="EW31" i="2"/>
  <c r="EX31" i="2"/>
  <c r="EY31" i="2"/>
  <c r="EZ31" i="2"/>
  <c r="FA31" i="2"/>
  <c r="FB31" i="2"/>
  <c r="EL31" i="2"/>
  <c r="FJ31" i="2"/>
  <c r="EM31" i="2"/>
  <c r="EN31" i="2"/>
  <c r="EO31" i="2"/>
  <c r="EP31" i="2"/>
  <c r="FI31" i="2"/>
  <c r="FK31" i="2"/>
  <c r="FM31" i="2"/>
  <c r="FL31" i="2"/>
  <c r="FN31" i="2"/>
  <c r="EK31" i="2"/>
  <c r="EF39" i="2"/>
  <c r="EG39" i="2" s="1"/>
  <c r="ET39" i="2"/>
  <c r="FF39" i="2"/>
  <c r="FI39" i="2"/>
  <c r="EU39" i="2"/>
  <c r="FG39" i="2"/>
  <c r="EW39" i="2"/>
  <c r="EV39" i="2"/>
  <c r="FH39" i="2"/>
  <c r="EK39" i="2"/>
  <c r="EL39" i="2"/>
  <c r="EX39" i="2"/>
  <c r="FJ39" i="2"/>
  <c r="EM39" i="2"/>
  <c r="EY39" i="2"/>
  <c r="FK39" i="2"/>
  <c r="EZ39" i="2"/>
  <c r="FA39" i="2"/>
  <c r="FC39" i="2"/>
  <c r="FB39" i="2"/>
  <c r="FD39" i="2"/>
  <c r="FE39" i="2"/>
  <c r="EO39" i="2"/>
  <c r="EP39" i="2"/>
  <c r="ER39" i="2"/>
  <c r="ES39" i="2"/>
  <c r="FL39" i="2"/>
  <c r="EQ39" i="2"/>
  <c r="FN39" i="2"/>
  <c r="EN39" i="2"/>
  <c r="FM39" i="2"/>
  <c r="EK21" i="2"/>
  <c r="EW21" i="2"/>
  <c r="FI21" i="2"/>
  <c r="FL21" i="2"/>
  <c r="EL21" i="2"/>
  <c r="EX21" i="2"/>
  <c r="FJ21" i="2"/>
  <c r="EZ21" i="2"/>
  <c r="EM21" i="2"/>
  <c r="EY21" i="2"/>
  <c r="FK21" i="2"/>
  <c r="EN21" i="2"/>
  <c r="EO21" i="2"/>
  <c r="FA21" i="2"/>
  <c r="FM21" i="2"/>
  <c r="EP21" i="2"/>
  <c r="FB21" i="2"/>
  <c r="FN21" i="2"/>
  <c r="EQ21" i="2"/>
  <c r="ER21" i="2"/>
  <c r="EU21" i="2"/>
  <c r="ES21" i="2"/>
  <c r="ET21" i="2"/>
  <c r="EV21" i="2"/>
  <c r="FC21" i="2"/>
  <c r="FE21" i="2"/>
  <c r="FF21" i="2"/>
  <c r="FD21" i="2"/>
  <c r="FH21" i="2"/>
  <c r="FG21" i="2"/>
  <c r="AW55" i="2"/>
  <c r="BA55" i="2" s="1"/>
  <c r="X34" i="3" s="1"/>
  <c r="EP55" i="2"/>
  <c r="FB55" i="2"/>
  <c r="FN55" i="2"/>
  <c r="ER55" i="2"/>
  <c r="EQ55" i="2"/>
  <c r="FC55" i="2"/>
  <c r="FD55" i="2"/>
  <c r="FE55" i="2"/>
  <c r="ES55" i="2"/>
  <c r="ET55" i="2"/>
  <c r="FF55" i="2"/>
  <c r="FF56" i="2" s="1"/>
  <c r="FF109" i="2" s="1"/>
  <c r="EK55" i="2"/>
  <c r="FG55" i="2"/>
  <c r="FH55" i="2"/>
  <c r="EN55" i="2"/>
  <c r="EO55" i="2"/>
  <c r="FL55" i="2"/>
  <c r="EL55" i="2"/>
  <c r="EL56" i="2" s="1"/>
  <c r="EL109" i="2" s="1"/>
  <c r="FJ55" i="2"/>
  <c r="EM55" i="2"/>
  <c r="FI55" i="2"/>
  <c r="FK55" i="2"/>
  <c r="EU55" i="2"/>
  <c r="EU56" i="2" s="1"/>
  <c r="EU109" i="2" s="1"/>
  <c r="FA55" i="2"/>
  <c r="EX55" i="2"/>
  <c r="EW55" i="2"/>
  <c r="EZ55" i="2"/>
  <c r="EV55" i="2"/>
  <c r="EY55" i="2"/>
  <c r="FM55" i="2"/>
  <c r="H55" i="2"/>
  <c r="I56" i="2"/>
  <c r="BI55" i="2"/>
  <c r="AW47" i="2"/>
  <c r="BA47" i="2" s="1"/>
  <c r="X30" i="3" s="1"/>
  <c r="ET47" i="2"/>
  <c r="FF47" i="2"/>
  <c r="EU47" i="2"/>
  <c r="FG47" i="2"/>
  <c r="FI47" i="2"/>
  <c r="EV47" i="2"/>
  <c r="FH47" i="2"/>
  <c r="EK47" i="2"/>
  <c r="EW47" i="2"/>
  <c r="EL47" i="2"/>
  <c r="EX47" i="2"/>
  <c r="FJ47" i="2"/>
  <c r="EY47" i="2"/>
  <c r="EZ47" i="2"/>
  <c r="FD47" i="2"/>
  <c r="FC47" i="2"/>
  <c r="EM47" i="2"/>
  <c r="FA47" i="2"/>
  <c r="FB47" i="2"/>
  <c r="EO47" i="2"/>
  <c r="EP47" i="2"/>
  <c r="EQ47" i="2"/>
  <c r="ER47" i="2"/>
  <c r="ES47" i="2"/>
  <c r="ES48" i="2" s="1"/>
  <c r="ES101" i="2" s="1"/>
  <c r="EN47" i="2"/>
  <c r="FE47" i="2"/>
  <c r="FK47" i="2"/>
  <c r="FL47" i="2"/>
  <c r="FN47" i="2"/>
  <c r="FM47" i="2"/>
  <c r="I48" i="2"/>
  <c r="H47" i="2"/>
  <c r="BI47" i="2"/>
  <c r="EV33" i="2"/>
  <c r="FH33" i="2"/>
  <c r="EM33" i="2"/>
  <c r="FK33" i="2"/>
  <c r="EK33" i="2"/>
  <c r="EW33" i="2"/>
  <c r="FI33" i="2"/>
  <c r="EY33" i="2"/>
  <c r="EL33" i="2"/>
  <c r="EX33" i="2"/>
  <c r="FJ33" i="2"/>
  <c r="EN33" i="2"/>
  <c r="EZ33" i="2"/>
  <c r="FL33" i="2"/>
  <c r="EO33" i="2"/>
  <c r="FA33" i="2"/>
  <c r="FM33" i="2"/>
  <c r="EP33" i="2"/>
  <c r="FN33" i="2"/>
  <c r="EQ33" i="2"/>
  <c r="ET33" i="2"/>
  <c r="EU33" i="2"/>
  <c r="ER33" i="2"/>
  <c r="ES33" i="2"/>
  <c r="FC33" i="2"/>
  <c r="FE33" i="2"/>
  <c r="FF33" i="2"/>
  <c r="FB33" i="2"/>
  <c r="FD33" i="2"/>
  <c r="FG33" i="2"/>
  <c r="EO29" i="2"/>
  <c r="FA29" i="2"/>
  <c r="FM29" i="2"/>
  <c r="EP29" i="2"/>
  <c r="FB29" i="2"/>
  <c r="FN29" i="2"/>
  <c r="ER29" i="2"/>
  <c r="EQ29" i="2"/>
  <c r="FC29" i="2"/>
  <c r="FD29" i="2"/>
  <c r="ES29" i="2"/>
  <c r="FE29" i="2"/>
  <c r="ET29" i="2"/>
  <c r="FF29" i="2"/>
  <c r="FG29" i="2"/>
  <c r="FH29" i="2"/>
  <c r="EM29" i="2"/>
  <c r="EN29" i="2"/>
  <c r="FK29" i="2"/>
  <c r="FL29" i="2"/>
  <c r="EK29" i="2"/>
  <c r="FI29" i="2"/>
  <c r="EL29" i="2"/>
  <c r="FJ29" i="2"/>
  <c r="EY29" i="2"/>
  <c r="EZ29" i="2"/>
  <c r="EW29" i="2"/>
  <c r="EU29" i="2"/>
  <c r="EV29" i="2"/>
  <c r="EX29" i="2"/>
  <c r="EF35" i="2"/>
  <c r="EG35" i="2" s="1"/>
  <c r="EU35" i="2"/>
  <c r="FG35" i="2"/>
  <c r="EV35" i="2"/>
  <c r="FH35" i="2"/>
  <c r="EL35" i="2"/>
  <c r="EK35" i="2"/>
  <c r="EW35" i="2"/>
  <c r="FI35" i="2"/>
  <c r="FJ35" i="2"/>
  <c r="EX35" i="2"/>
  <c r="EM35" i="2"/>
  <c r="EY35" i="2"/>
  <c r="FK35" i="2"/>
  <c r="EN35" i="2"/>
  <c r="EZ35" i="2"/>
  <c r="FL35" i="2"/>
  <c r="FA35" i="2"/>
  <c r="FB35" i="2"/>
  <c r="FF35" i="2"/>
  <c r="FE35" i="2"/>
  <c r="FC35" i="2"/>
  <c r="FD35" i="2"/>
  <c r="FN35" i="2"/>
  <c r="EQ35" i="2"/>
  <c r="EO35" i="2"/>
  <c r="EP35" i="2"/>
  <c r="ER35" i="2"/>
  <c r="ES35" i="2"/>
  <c r="ET35" i="2"/>
  <c r="FM35" i="2"/>
  <c r="AW51" i="2"/>
  <c r="BA51" i="2" s="1"/>
  <c r="X32" i="3" s="1"/>
  <c r="EP51" i="2"/>
  <c r="FB51" i="2"/>
  <c r="FN51" i="2"/>
  <c r="FD51" i="2"/>
  <c r="ES51" i="2"/>
  <c r="EQ51" i="2"/>
  <c r="FC51" i="2"/>
  <c r="FC52" i="2" s="1"/>
  <c r="FC105" i="2" s="1"/>
  <c r="ER51" i="2"/>
  <c r="FE51" i="2"/>
  <c r="ET51" i="2"/>
  <c r="FF51" i="2"/>
  <c r="EV51" i="2"/>
  <c r="FM51" i="2"/>
  <c r="EW51" i="2"/>
  <c r="EZ51" i="2"/>
  <c r="EY51" i="2"/>
  <c r="FA51" i="2"/>
  <c r="EX51" i="2"/>
  <c r="FH51" i="2"/>
  <c r="FH52" i="2" s="1"/>
  <c r="FH105" i="2" s="1"/>
  <c r="FI51" i="2"/>
  <c r="EL51" i="2"/>
  <c r="EM51" i="2"/>
  <c r="FJ51" i="2"/>
  <c r="FK51" i="2"/>
  <c r="FL51" i="2"/>
  <c r="EN51" i="2"/>
  <c r="EK51" i="2"/>
  <c r="EO51" i="2"/>
  <c r="EU51" i="2"/>
  <c r="FG51" i="2"/>
  <c r="I52" i="2"/>
  <c r="H51" i="2" s="1"/>
  <c r="BI51" i="2"/>
  <c r="CU51" i="2" s="1"/>
  <c r="AW49" i="2"/>
  <c r="BA49" i="2" s="1"/>
  <c r="X31" i="3" s="1"/>
  <c r="EN49" i="2"/>
  <c r="EZ49" i="2"/>
  <c r="FL49" i="2"/>
  <c r="EQ49" i="2"/>
  <c r="EO49" i="2"/>
  <c r="FA49" i="2"/>
  <c r="FM49" i="2"/>
  <c r="EP49" i="2"/>
  <c r="FN49" i="2"/>
  <c r="FN50" i="2" s="1"/>
  <c r="FN103" i="2" s="1"/>
  <c r="FC49" i="2"/>
  <c r="FB49" i="2"/>
  <c r="ER49" i="2"/>
  <c r="FD49" i="2"/>
  <c r="EL49" i="2"/>
  <c r="FH49" i="2"/>
  <c r="EM49" i="2"/>
  <c r="FI49" i="2"/>
  <c r="FK49" i="2"/>
  <c r="EU49" i="2"/>
  <c r="ET49" i="2"/>
  <c r="ES49" i="2"/>
  <c r="ES50" i="2" s="1"/>
  <c r="ES103" i="2" s="1"/>
  <c r="FJ49" i="2"/>
  <c r="EV49" i="2"/>
  <c r="EX49" i="2"/>
  <c r="EY49" i="2"/>
  <c r="FE49" i="2"/>
  <c r="FF49" i="2"/>
  <c r="EK49" i="2"/>
  <c r="EW49" i="2"/>
  <c r="FG49" i="2"/>
  <c r="BI49" i="2"/>
  <c r="I50" i="2"/>
  <c r="H49" i="2" s="1"/>
  <c r="AW45" i="2"/>
  <c r="BA45" i="2" s="1"/>
  <c r="X29" i="3" s="1"/>
  <c r="EO45" i="2"/>
  <c r="FA45" i="2"/>
  <c r="FM45" i="2"/>
  <c r="ER45" i="2"/>
  <c r="EP45" i="2"/>
  <c r="FB45" i="2"/>
  <c r="FN45" i="2"/>
  <c r="FD45" i="2"/>
  <c r="EQ45" i="2"/>
  <c r="FC45" i="2"/>
  <c r="ES45" i="2"/>
  <c r="ES46" i="2" s="1"/>
  <c r="ES99" i="2" s="1"/>
  <c r="FE45" i="2"/>
  <c r="EL45" i="2"/>
  <c r="FH45" i="2"/>
  <c r="EM45" i="2"/>
  <c r="FI45" i="2"/>
  <c r="ET45" i="2"/>
  <c r="FK45" i="2"/>
  <c r="EN45" i="2"/>
  <c r="FJ45" i="2"/>
  <c r="EU45" i="2"/>
  <c r="FL45" i="2"/>
  <c r="EV45" i="2"/>
  <c r="EV46" i="2" s="1"/>
  <c r="EV99" i="2" s="1"/>
  <c r="EW45" i="2"/>
  <c r="EK45" i="2"/>
  <c r="FG45" i="2"/>
  <c r="EY45" i="2"/>
  <c r="EZ45" i="2"/>
  <c r="FF45" i="2"/>
  <c r="EX45" i="2"/>
  <c r="I46" i="2"/>
  <c r="H45" i="2" s="1"/>
  <c r="BI45" i="2"/>
  <c r="EL43" i="2"/>
  <c r="EX43" i="2"/>
  <c r="FJ43" i="2"/>
  <c r="EO43" i="2"/>
  <c r="EM43" i="2"/>
  <c r="EY43" i="2"/>
  <c r="FK43" i="2"/>
  <c r="EN43" i="2"/>
  <c r="FM43" i="2"/>
  <c r="EZ43" i="2"/>
  <c r="FL43" i="2"/>
  <c r="FA43" i="2"/>
  <c r="EP43" i="2"/>
  <c r="FB43" i="2"/>
  <c r="FB44" i="2" s="1"/>
  <c r="FB97" i="2" s="1"/>
  <c r="FN43" i="2"/>
  <c r="EW43" i="2"/>
  <c r="FC43" i="2"/>
  <c r="FE43" i="2"/>
  <c r="FG43" i="2"/>
  <c r="FF43" i="2"/>
  <c r="FD43" i="2"/>
  <c r="EK43" i="2"/>
  <c r="FI43" i="2"/>
  <c r="ER43" i="2"/>
  <c r="ES43" i="2"/>
  <c r="EQ43" i="2"/>
  <c r="EQ44" i="2" s="1"/>
  <c r="EQ97" i="2" s="1"/>
  <c r="ET43" i="2"/>
  <c r="EU43" i="2"/>
  <c r="EV43" i="2"/>
  <c r="FH43" i="2"/>
  <c r="AW43" i="2"/>
  <c r="BA43" i="2" s="1"/>
  <c r="X28" i="3" s="1"/>
  <c r="BI43" i="2"/>
  <c r="CU43" i="2" s="1"/>
  <c r="I44" i="2"/>
  <c r="H43" i="2"/>
  <c r="AW41" i="2"/>
  <c r="BA41" i="2" s="1"/>
  <c r="X27" i="3" s="1"/>
  <c r="BI41" i="2"/>
  <c r="CU41" i="2" s="1"/>
  <c r="I42" i="2"/>
  <c r="H41" i="2" s="1"/>
  <c r="AW39" i="2"/>
  <c r="BA39" i="2" s="1"/>
  <c r="X26" i="3" s="1"/>
  <c r="I40" i="2"/>
  <c r="H39" i="2" s="1"/>
  <c r="BI39" i="2"/>
  <c r="CU39" i="2" s="1"/>
  <c r="I30" i="2"/>
  <c r="H29" i="2" s="1"/>
  <c r="EF29" i="2"/>
  <c r="EG29" i="2" s="1"/>
  <c r="I34" i="2"/>
  <c r="H33" i="2" s="1"/>
  <c r="EF33" i="2"/>
  <c r="EG33" i="2" s="1"/>
  <c r="AW35" i="2"/>
  <c r="I36" i="2"/>
  <c r="H35" i="2" s="1"/>
  <c r="BI35" i="2"/>
  <c r="CU35" i="2" s="1"/>
  <c r="AW33" i="2"/>
  <c r="BI33" i="2"/>
  <c r="CU33" i="2" s="1"/>
  <c r="AW31" i="2"/>
  <c r="BI31" i="2"/>
  <c r="CU31" i="2" s="1"/>
  <c r="I32" i="2"/>
  <c r="H31" i="2" s="1"/>
  <c r="AW29" i="2"/>
  <c r="BI29" i="2"/>
  <c r="CU29" i="2" s="1"/>
  <c r="AW27" i="2"/>
  <c r="BI27" i="2"/>
  <c r="CU27" i="2" s="1"/>
  <c r="I28" i="2"/>
  <c r="H27" i="2" s="1"/>
  <c r="AW25" i="2"/>
  <c r="BI25" i="2"/>
  <c r="CU25" i="2" s="1"/>
  <c r="AW23" i="2"/>
  <c r="BI23" i="2"/>
  <c r="CU23" i="2" s="1"/>
  <c r="I24" i="2"/>
  <c r="H23" i="2" s="1"/>
  <c r="AW21" i="2"/>
  <c r="BI21" i="2"/>
  <c r="CU21" i="2" s="1"/>
  <c r="I22" i="2"/>
  <c r="H21" i="2"/>
  <c r="AW19" i="2"/>
  <c r="BI19" i="2"/>
  <c r="CU19" i="2" s="1"/>
  <c r="H19" i="2"/>
  <c r="HK55" i="2"/>
  <c r="HK53" i="2"/>
  <c r="HK47" i="2"/>
  <c r="HK43" i="2"/>
  <c r="HK51" i="2"/>
  <c r="HK49" i="2"/>
  <c r="HK45" i="2"/>
  <c r="HK41" i="2"/>
  <c r="HK39" i="2"/>
  <c r="HK35" i="2"/>
  <c r="HK33" i="2"/>
  <c r="HK31" i="2"/>
  <c r="HK29" i="2"/>
  <c r="HK27" i="2"/>
  <c r="HK25" i="2"/>
  <c r="HK23" i="2"/>
  <c r="HK21" i="2"/>
  <c r="HK19" i="2"/>
  <c r="FM19" i="2"/>
  <c r="FN19" i="2"/>
  <c r="FC19" i="2"/>
  <c r="FB19" i="2"/>
  <c r="FD19" i="2"/>
  <c r="FG19" i="2"/>
  <c r="FH19" i="2"/>
  <c r="FI19" i="2"/>
  <c r="FJ19" i="2"/>
  <c r="FK19" i="2"/>
  <c r="FE19" i="2"/>
  <c r="FF19" i="2"/>
  <c r="FL19" i="2"/>
  <c r="DL65" i="2"/>
  <c r="DK65" i="2"/>
  <c r="DL63" i="2"/>
  <c r="DK63" i="2"/>
  <c r="DK61" i="2"/>
  <c r="DL61" i="2"/>
  <c r="DK55" i="2"/>
  <c r="DL55" i="2"/>
  <c r="HI55" i="2"/>
  <c r="HI49" i="2"/>
  <c r="DK49" i="2"/>
  <c r="DM49" i="2" s="1"/>
  <c r="DL49" i="2"/>
  <c r="HI47" i="2"/>
  <c r="DK47" i="2"/>
  <c r="DM47" i="2" s="1"/>
  <c r="DL47" i="2"/>
  <c r="DL41" i="2"/>
  <c r="DK41" i="2"/>
  <c r="DK25" i="2"/>
  <c r="DL25" i="2"/>
  <c r="DK27" i="2"/>
  <c r="DL27" i="2"/>
  <c r="HI51" i="2"/>
  <c r="DK51" i="2"/>
  <c r="DM51" i="2" s="1"/>
  <c r="DL51" i="2"/>
  <c r="DL29" i="2"/>
  <c r="DK29" i="2"/>
  <c r="DK33" i="2"/>
  <c r="DL33" i="2"/>
  <c r="DK45" i="2"/>
  <c r="DM45" i="2" s="1"/>
  <c r="HI45" i="2"/>
  <c r="DL45" i="2"/>
  <c r="DK39" i="2"/>
  <c r="DL39" i="2"/>
  <c r="DK35" i="2"/>
  <c r="DL35" i="2"/>
  <c r="DL59" i="2"/>
  <c r="DK59" i="2"/>
  <c r="DK57" i="2"/>
  <c r="DM57" i="2" s="1"/>
  <c r="DL57" i="2"/>
  <c r="HI57" i="2"/>
  <c r="DL53" i="2"/>
  <c r="HI53" i="2"/>
  <c r="DK53" i="2"/>
  <c r="DK31" i="2"/>
  <c r="DL31" i="2"/>
  <c r="DL67" i="2"/>
  <c r="DK67" i="2"/>
  <c r="DK43" i="2"/>
  <c r="DL43" i="2"/>
  <c r="DK23" i="2"/>
  <c r="DL23" i="2"/>
  <c r="DK21" i="2"/>
  <c r="DL21" i="2"/>
  <c r="DK19" i="2"/>
  <c r="DL19" i="2"/>
  <c r="HI43" i="2"/>
  <c r="HI41" i="2"/>
  <c r="HI39" i="2"/>
  <c r="HI35" i="2"/>
  <c r="HI33" i="2"/>
  <c r="HI31" i="2"/>
  <c r="HI29" i="2"/>
  <c r="HI27" i="2"/>
  <c r="HI25" i="2"/>
  <c r="HI23" i="2"/>
  <c r="EK19" i="2"/>
  <c r="HI19" i="2"/>
  <c r="HI21" i="2"/>
  <c r="BL57" i="2"/>
  <c r="CX57" i="2" s="1"/>
  <c r="BP57" i="2"/>
  <c r="BL58" i="2"/>
  <c r="BP58" i="2"/>
  <c r="BT58" i="2"/>
  <c r="BX58" i="2"/>
  <c r="CB58" i="2"/>
  <c r="CF58" i="2"/>
  <c r="CJ58" i="2"/>
  <c r="CU57" i="2"/>
  <c r="BM57" i="2"/>
  <c r="CY57" i="2" s="1"/>
  <c r="BQ57" i="2"/>
  <c r="BI58" i="2"/>
  <c r="BM58" i="2"/>
  <c r="BQ58" i="2"/>
  <c r="BU58" i="2"/>
  <c r="BY58" i="2"/>
  <c r="CC58" i="2"/>
  <c r="CG58" i="2"/>
  <c r="CK58" i="2"/>
  <c r="BK57" i="2"/>
  <c r="CW57" i="2" s="1"/>
  <c r="BO58" i="2"/>
  <c r="BW58" i="2"/>
  <c r="CE58" i="2"/>
  <c r="BN57" i="2"/>
  <c r="CZ57" i="2" s="1"/>
  <c r="BJ58" i="2"/>
  <c r="BR58" i="2"/>
  <c r="BZ58" i="2"/>
  <c r="CH58" i="2"/>
  <c r="BO57" i="2"/>
  <c r="DA57" i="2" s="1"/>
  <c r="BK58" i="2"/>
  <c r="BS58" i="2"/>
  <c r="CA58" i="2"/>
  <c r="CI58" i="2"/>
  <c r="BJ57" i="2"/>
  <c r="CV57" i="2" s="1"/>
  <c r="BN58" i="2"/>
  <c r="CD58" i="2"/>
  <c r="BR57" i="2"/>
  <c r="BV58" i="2"/>
  <c r="CL58" i="2"/>
  <c r="BK49" i="2"/>
  <c r="CW49" i="2" s="1"/>
  <c r="BO49" i="2"/>
  <c r="DA49" i="2" s="1"/>
  <c r="BJ50" i="2"/>
  <c r="BN50" i="2"/>
  <c r="BR50" i="2"/>
  <c r="BV50" i="2"/>
  <c r="BZ50" i="2"/>
  <c r="CD50" i="2"/>
  <c r="CH50" i="2"/>
  <c r="CL50" i="2"/>
  <c r="BL49" i="2"/>
  <c r="CX49" i="2" s="1"/>
  <c r="BP49" i="2"/>
  <c r="BK50" i="2"/>
  <c r="BO50" i="2"/>
  <c r="BS50" i="2"/>
  <c r="BW50" i="2"/>
  <c r="CA50" i="2"/>
  <c r="CE50" i="2"/>
  <c r="CI50" i="2"/>
  <c r="BJ49" i="2"/>
  <c r="CV49" i="2" s="1"/>
  <c r="BR49" i="2"/>
  <c r="BM50" i="2"/>
  <c r="BU50" i="2"/>
  <c r="CC50" i="2"/>
  <c r="CK50" i="2"/>
  <c r="BN49" i="2"/>
  <c r="CZ49" i="2" s="1"/>
  <c r="BI50" i="2"/>
  <c r="BQ50" i="2"/>
  <c r="BY50" i="2"/>
  <c r="CG50" i="2"/>
  <c r="CU49" i="2"/>
  <c r="BL50" i="2"/>
  <c r="CB50" i="2"/>
  <c r="BM49" i="2"/>
  <c r="CY49" i="2" s="1"/>
  <c r="BP50" i="2"/>
  <c r="BX50" i="2"/>
  <c r="CF50" i="2"/>
  <c r="BQ49" i="2"/>
  <c r="BT50" i="2"/>
  <c r="CJ50" i="2"/>
  <c r="BK41" i="2"/>
  <c r="CW41" i="2" s="1"/>
  <c r="BO41" i="2"/>
  <c r="DA41" i="2" s="1"/>
  <c r="BK42" i="2"/>
  <c r="BO42" i="2"/>
  <c r="BS42" i="2"/>
  <c r="BW42" i="2"/>
  <c r="CA42" i="2"/>
  <c r="CE42" i="2"/>
  <c r="CI42" i="2"/>
  <c r="BL41" i="2"/>
  <c r="CX41" i="2" s="1"/>
  <c r="BP41" i="2"/>
  <c r="BL42" i="2"/>
  <c r="BP42" i="2"/>
  <c r="BT42" i="2"/>
  <c r="BX42" i="2"/>
  <c r="CB42" i="2"/>
  <c r="CF42" i="2"/>
  <c r="CJ42" i="2"/>
  <c r="BN41" i="2"/>
  <c r="CZ41" i="2" s="1"/>
  <c r="BJ42" i="2"/>
  <c r="BR42" i="2"/>
  <c r="BZ42" i="2"/>
  <c r="CH42" i="2"/>
  <c r="BJ41" i="2"/>
  <c r="CV41" i="2" s="1"/>
  <c r="BR41" i="2"/>
  <c r="BN42" i="2"/>
  <c r="BV42" i="2"/>
  <c r="CD42" i="2"/>
  <c r="CL42" i="2"/>
  <c r="BI42" i="2"/>
  <c r="BY42" i="2"/>
  <c r="BQ41" i="2"/>
  <c r="BM42" i="2"/>
  <c r="BU42" i="2"/>
  <c r="CC42" i="2"/>
  <c r="CK42" i="2"/>
  <c r="BM41" i="2"/>
  <c r="CY41" i="2" s="1"/>
  <c r="BQ42" i="2"/>
  <c r="CG42" i="2"/>
  <c r="BK23" i="2"/>
  <c r="CW23" i="2" s="1"/>
  <c r="BO23" i="2"/>
  <c r="DA23" i="2" s="1"/>
  <c r="BJ24" i="2"/>
  <c r="BN24" i="2"/>
  <c r="BR24" i="2"/>
  <c r="BV24" i="2"/>
  <c r="BL23" i="2"/>
  <c r="CX23" i="2" s="1"/>
  <c r="BP23" i="2"/>
  <c r="BK24" i="2"/>
  <c r="BO24" i="2"/>
  <c r="BS24" i="2"/>
  <c r="BW24" i="2"/>
  <c r="BM23" i="2"/>
  <c r="CY23" i="2" s="1"/>
  <c r="BL24" i="2"/>
  <c r="BT24" i="2"/>
  <c r="BZ24" i="2"/>
  <c r="CD24" i="2"/>
  <c r="CH24" i="2"/>
  <c r="CL24" i="2"/>
  <c r="BN23" i="2"/>
  <c r="CZ23" i="2" s="1"/>
  <c r="BM24" i="2"/>
  <c r="BU24" i="2"/>
  <c r="CA24" i="2"/>
  <c r="CE24" i="2"/>
  <c r="CI24" i="2"/>
  <c r="BJ23" i="2"/>
  <c r="CV23" i="2" s="1"/>
  <c r="BI24" i="2"/>
  <c r="BY24" i="2"/>
  <c r="CG24" i="2"/>
  <c r="BR23" i="2"/>
  <c r="BQ24" i="2"/>
  <c r="CC24" i="2"/>
  <c r="CK24" i="2"/>
  <c r="BX24" i="2"/>
  <c r="CF24" i="2"/>
  <c r="BQ23" i="2"/>
  <c r="BP24" i="2"/>
  <c r="CB24" i="2"/>
  <c r="CJ24" i="2"/>
  <c r="BM31" i="2"/>
  <c r="CY31" i="2" s="1"/>
  <c r="BQ31" i="2"/>
  <c r="BL32" i="2"/>
  <c r="BP32" i="2"/>
  <c r="BT32" i="2"/>
  <c r="BX32" i="2"/>
  <c r="CB32" i="2"/>
  <c r="CF32" i="2"/>
  <c r="CJ32" i="2"/>
  <c r="BJ31" i="2"/>
  <c r="CV31" i="2" s="1"/>
  <c r="BN31" i="2"/>
  <c r="CZ31" i="2" s="1"/>
  <c r="BR31" i="2"/>
  <c r="BI32" i="2"/>
  <c r="BM32" i="2"/>
  <c r="BQ32" i="2"/>
  <c r="BU32" i="2"/>
  <c r="BY32" i="2"/>
  <c r="CC32" i="2"/>
  <c r="CG32" i="2"/>
  <c r="CK32" i="2"/>
  <c r="BP31" i="2"/>
  <c r="BO32" i="2"/>
  <c r="BW32" i="2"/>
  <c r="CE32" i="2"/>
  <c r="BL31" i="2"/>
  <c r="CX31" i="2" s="1"/>
  <c r="BK32" i="2"/>
  <c r="BS32" i="2"/>
  <c r="CA32" i="2"/>
  <c r="CI32" i="2"/>
  <c r="BO31" i="2"/>
  <c r="DA31" i="2" s="1"/>
  <c r="BN32" i="2"/>
  <c r="BV32" i="2"/>
  <c r="CD32" i="2"/>
  <c r="CL32" i="2"/>
  <c r="BK31" i="2"/>
  <c r="CW31" i="2" s="1"/>
  <c r="BJ32" i="2"/>
  <c r="BR32" i="2"/>
  <c r="BZ32" i="2"/>
  <c r="CH32" i="2"/>
  <c r="BJ55" i="2"/>
  <c r="CV55" i="2" s="1"/>
  <c r="BN55" i="2"/>
  <c r="CZ55" i="2" s="1"/>
  <c r="BR55" i="2"/>
  <c r="BJ56" i="2"/>
  <c r="BN56" i="2"/>
  <c r="BR56" i="2"/>
  <c r="BV56" i="2"/>
  <c r="BZ56" i="2"/>
  <c r="CD56" i="2"/>
  <c r="CH56" i="2"/>
  <c r="CL56" i="2"/>
  <c r="BK55" i="2"/>
  <c r="CW55" i="2" s="1"/>
  <c r="BO55" i="2"/>
  <c r="DA55" i="2" s="1"/>
  <c r="BK56" i="2"/>
  <c r="BO56" i="2"/>
  <c r="BS56" i="2"/>
  <c r="BW56" i="2"/>
  <c r="CA56" i="2"/>
  <c r="CE56" i="2"/>
  <c r="CI56" i="2"/>
  <c r="BM55" i="2"/>
  <c r="CY55" i="2" s="1"/>
  <c r="BI56" i="2"/>
  <c r="BQ56" i="2"/>
  <c r="BY56" i="2"/>
  <c r="CG56" i="2"/>
  <c r="BP55" i="2"/>
  <c r="BL56" i="2"/>
  <c r="BT56" i="2"/>
  <c r="CB56" i="2"/>
  <c r="CJ56" i="2"/>
  <c r="CU55" i="2"/>
  <c r="BQ55" i="2"/>
  <c r="BM56" i="2"/>
  <c r="BU56" i="2"/>
  <c r="CC56" i="2"/>
  <c r="CK56" i="2"/>
  <c r="BX56" i="2"/>
  <c r="BL55" i="2"/>
  <c r="CX55" i="2" s="1"/>
  <c r="BP56" i="2"/>
  <c r="CF56" i="2"/>
  <c r="BJ47" i="2"/>
  <c r="CV47" i="2" s="1"/>
  <c r="BN47" i="2"/>
  <c r="CZ47" i="2" s="1"/>
  <c r="BR47" i="2"/>
  <c r="BI48" i="2"/>
  <c r="BM48" i="2"/>
  <c r="BQ48" i="2"/>
  <c r="BU48" i="2"/>
  <c r="BY48" i="2"/>
  <c r="CC48" i="2"/>
  <c r="CG48" i="2"/>
  <c r="CK48" i="2"/>
  <c r="BK47" i="2"/>
  <c r="CW47" i="2" s="1"/>
  <c r="BO47" i="2"/>
  <c r="DA47" i="2" s="1"/>
  <c r="BJ48" i="2"/>
  <c r="BN48" i="2"/>
  <c r="BR48" i="2"/>
  <c r="BV48" i="2"/>
  <c r="BZ48" i="2"/>
  <c r="CD48" i="2"/>
  <c r="CH48" i="2"/>
  <c r="CL48" i="2"/>
  <c r="CU47" i="2"/>
  <c r="BQ47" i="2"/>
  <c r="BP48" i="2"/>
  <c r="BX48" i="2"/>
  <c r="CF48" i="2"/>
  <c r="BM47" i="2"/>
  <c r="CY47" i="2" s="1"/>
  <c r="BL48" i="2"/>
  <c r="BT48" i="2"/>
  <c r="CB48" i="2"/>
  <c r="CJ48" i="2"/>
  <c r="BP47" i="2"/>
  <c r="BO48" i="2"/>
  <c r="CE48" i="2"/>
  <c r="BL47" i="2"/>
  <c r="CX47" i="2" s="1"/>
  <c r="BK48" i="2"/>
  <c r="BS48" i="2"/>
  <c r="CA48" i="2"/>
  <c r="CI48" i="2"/>
  <c r="BW48" i="2"/>
  <c r="BJ39" i="2"/>
  <c r="CV39" i="2" s="1"/>
  <c r="BN39" i="2"/>
  <c r="CZ39" i="2" s="1"/>
  <c r="BR39" i="2"/>
  <c r="BI40" i="2"/>
  <c r="BM40" i="2"/>
  <c r="BQ40" i="2"/>
  <c r="BU40" i="2"/>
  <c r="BY40" i="2"/>
  <c r="CC40" i="2"/>
  <c r="CG40" i="2"/>
  <c r="CK40" i="2"/>
  <c r="BK39" i="2"/>
  <c r="CW39" i="2" s="1"/>
  <c r="BO39" i="2"/>
  <c r="DA39" i="2" s="1"/>
  <c r="BJ40" i="2"/>
  <c r="BN40" i="2"/>
  <c r="BR40" i="2"/>
  <c r="BV40" i="2"/>
  <c r="BZ40" i="2"/>
  <c r="CD40" i="2"/>
  <c r="CH40" i="2"/>
  <c r="CL40" i="2"/>
  <c r="BM39" i="2"/>
  <c r="CY39" i="2" s="1"/>
  <c r="BL40" i="2"/>
  <c r="BT40" i="2"/>
  <c r="CB40" i="2"/>
  <c r="CJ40" i="2"/>
  <c r="BQ39" i="2"/>
  <c r="BP40" i="2"/>
  <c r="BX40" i="2"/>
  <c r="CF40" i="2"/>
  <c r="BL39" i="2"/>
  <c r="CX39" i="2" s="1"/>
  <c r="BS40" i="2"/>
  <c r="CI40" i="2"/>
  <c r="BP39" i="2"/>
  <c r="BO40" i="2"/>
  <c r="BW40" i="2"/>
  <c r="CE40" i="2"/>
  <c r="BK40" i="2"/>
  <c r="CA40" i="2"/>
  <c r="BJ33" i="2"/>
  <c r="CV33" i="2" s="1"/>
  <c r="BN33" i="2"/>
  <c r="CZ33" i="2" s="1"/>
  <c r="BR33" i="2"/>
  <c r="BJ34" i="2"/>
  <c r="BN34" i="2"/>
  <c r="BR34" i="2"/>
  <c r="BV34" i="2"/>
  <c r="BZ34" i="2"/>
  <c r="CD34" i="2"/>
  <c r="CH34" i="2"/>
  <c r="CL34" i="2"/>
  <c r="BK33" i="2"/>
  <c r="CW33" i="2" s="1"/>
  <c r="BO33" i="2"/>
  <c r="DA33" i="2" s="1"/>
  <c r="BK34" i="2"/>
  <c r="BO34" i="2"/>
  <c r="BS34" i="2"/>
  <c r="BW34" i="2"/>
  <c r="CA34" i="2"/>
  <c r="CE34" i="2"/>
  <c r="CI34" i="2"/>
  <c r="BQ33" i="2"/>
  <c r="BM34" i="2"/>
  <c r="BU34" i="2"/>
  <c r="CC34" i="2"/>
  <c r="CK34" i="2"/>
  <c r="BM33" i="2"/>
  <c r="CY33" i="2" s="1"/>
  <c r="BI34" i="2"/>
  <c r="BQ34" i="2"/>
  <c r="BY34" i="2"/>
  <c r="CG34" i="2"/>
  <c r="BP33" i="2"/>
  <c r="BL34" i="2"/>
  <c r="BT34" i="2"/>
  <c r="CB34" i="2"/>
  <c r="CJ34" i="2"/>
  <c r="BL33" i="2"/>
  <c r="CX33" i="2" s="1"/>
  <c r="BP34" i="2"/>
  <c r="BX34" i="2"/>
  <c r="CF34" i="2"/>
  <c r="CU53" i="2"/>
  <c r="BM53" i="2"/>
  <c r="CY53" i="2" s="1"/>
  <c r="BQ53" i="2"/>
  <c r="BL54" i="2"/>
  <c r="BP54" i="2"/>
  <c r="BT54" i="2"/>
  <c r="BX54" i="2"/>
  <c r="CB54" i="2"/>
  <c r="CF54" i="2"/>
  <c r="CJ54" i="2"/>
  <c r="BJ53" i="2"/>
  <c r="CV53" i="2" s="1"/>
  <c r="BN53" i="2"/>
  <c r="CZ53" i="2" s="1"/>
  <c r="BR53" i="2"/>
  <c r="BI54" i="2"/>
  <c r="BM54" i="2"/>
  <c r="BQ54" i="2"/>
  <c r="BU54" i="2"/>
  <c r="BY54" i="2"/>
  <c r="CC54" i="2"/>
  <c r="CG54" i="2"/>
  <c r="CK54" i="2"/>
  <c r="BL53" i="2"/>
  <c r="CX53" i="2" s="1"/>
  <c r="BK54" i="2"/>
  <c r="BS54" i="2"/>
  <c r="CA54" i="2"/>
  <c r="CI54" i="2"/>
  <c r="CL54" i="2"/>
  <c r="BP53" i="2"/>
  <c r="BO54" i="2"/>
  <c r="BW54" i="2"/>
  <c r="CE54" i="2"/>
  <c r="BK53" i="2"/>
  <c r="CW53" i="2" s="1"/>
  <c r="BR54" i="2"/>
  <c r="CH54" i="2"/>
  <c r="BO53" i="2"/>
  <c r="DA53" i="2" s="1"/>
  <c r="BN54" i="2"/>
  <c r="BV54" i="2"/>
  <c r="CD54" i="2"/>
  <c r="BJ54" i="2"/>
  <c r="BZ54" i="2"/>
  <c r="CU45" i="2"/>
  <c r="BM45" i="2"/>
  <c r="CY45" i="2" s="1"/>
  <c r="BQ45" i="2"/>
  <c r="BL46" i="2"/>
  <c r="BP46" i="2"/>
  <c r="BT46" i="2"/>
  <c r="BX46" i="2"/>
  <c r="CB46" i="2"/>
  <c r="CF46" i="2"/>
  <c r="CJ46" i="2"/>
  <c r="BJ45" i="2"/>
  <c r="CV45" i="2" s="1"/>
  <c r="BN45" i="2"/>
  <c r="CZ45" i="2" s="1"/>
  <c r="BR45" i="2"/>
  <c r="BI46" i="2"/>
  <c r="BM46" i="2"/>
  <c r="BQ46" i="2"/>
  <c r="BU46" i="2"/>
  <c r="BY46" i="2"/>
  <c r="CC46" i="2"/>
  <c r="CG46" i="2"/>
  <c r="CK46" i="2"/>
  <c r="BP45" i="2"/>
  <c r="BO46" i="2"/>
  <c r="BW46" i="2"/>
  <c r="CE46" i="2"/>
  <c r="BL45" i="2"/>
  <c r="CX45" i="2" s="1"/>
  <c r="BK46" i="2"/>
  <c r="BS46" i="2"/>
  <c r="CA46" i="2"/>
  <c r="CI46" i="2"/>
  <c r="BO45" i="2"/>
  <c r="DA45" i="2" s="1"/>
  <c r="BN46" i="2"/>
  <c r="CD46" i="2"/>
  <c r="BK45" i="2"/>
  <c r="CW45" i="2" s="1"/>
  <c r="BJ46" i="2"/>
  <c r="BR46" i="2"/>
  <c r="BZ46" i="2"/>
  <c r="CH46" i="2"/>
  <c r="BV46" i="2"/>
  <c r="CL46" i="2"/>
  <c r="BL35" i="2"/>
  <c r="CX35" i="2" s="1"/>
  <c r="BP35" i="2"/>
  <c r="BK36" i="2"/>
  <c r="BO36" i="2"/>
  <c r="BS36" i="2"/>
  <c r="BW36" i="2"/>
  <c r="CA36" i="2"/>
  <c r="CE36" i="2"/>
  <c r="CI36" i="2"/>
  <c r="BM35" i="2"/>
  <c r="CY35" i="2" s="1"/>
  <c r="BQ35" i="2"/>
  <c r="BL36" i="2"/>
  <c r="BP36" i="2"/>
  <c r="BT36" i="2"/>
  <c r="BX36" i="2"/>
  <c r="CB36" i="2"/>
  <c r="CF36" i="2"/>
  <c r="CJ36" i="2"/>
  <c r="BO35" i="2"/>
  <c r="DA35" i="2" s="1"/>
  <c r="BJ36" i="2"/>
  <c r="BR36" i="2"/>
  <c r="BZ36" i="2"/>
  <c r="CH36" i="2"/>
  <c r="BK35" i="2"/>
  <c r="CW35" i="2" s="1"/>
  <c r="BN36" i="2"/>
  <c r="BV36" i="2"/>
  <c r="CD36" i="2"/>
  <c r="CL36" i="2"/>
  <c r="BN35" i="2"/>
  <c r="CZ35" i="2" s="1"/>
  <c r="BQ36" i="2"/>
  <c r="BY36" i="2"/>
  <c r="CG36" i="2"/>
  <c r="BJ35" i="2"/>
  <c r="CV35" i="2" s="1"/>
  <c r="BR35" i="2"/>
  <c r="BM36" i="2"/>
  <c r="BU36" i="2"/>
  <c r="CC36" i="2"/>
  <c r="CK36" i="2"/>
  <c r="BI36" i="2"/>
  <c r="BL51" i="2"/>
  <c r="CX51" i="2" s="1"/>
  <c r="BP51" i="2"/>
  <c r="BK52" i="2"/>
  <c r="BO52" i="2"/>
  <c r="BS52" i="2"/>
  <c r="BW52" i="2"/>
  <c r="CA52" i="2"/>
  <c r="CE52" i="2"/>
  <c r="CI52" i="2"/>
  <c r="BM51" i="2"/>
  <c r="CY51" i="2" s="1"/>
  <c r="BQ51" i="2"/>
  <c r="BL52" i="2"/>
  <c r="BP52" i="2"/>
  <c r="BT52" i="2"/>
  <c r="BX52" i="2"/>
  <c r="CB52" i="2"/>
  <c r="CF52" i="2"/>
  <c r="CJ52" i="2"/>
  <c r="BO51" i="2"/>
  <c r="DA51" i="2" s="1"/>
  <c r="BJ52" i="2"/>
  <c r="BR52" i="2"/>
  <c r="BZ52" i="2"/>
  <c r="CH52" i="2"/>
  <c r="BK51" i="2"/>
  <c r="CW51" i="2" s="1"/>
  <c r="BN52" i="2"/>
  <c r="BV52" i="2"/>
  <c r="CD52" i="2"/>
  <c r="CL52" i="2"/>
  <c r="BN51" i="2"/>
  <c r="CZ51" i="2" s="1"/>
  <c r="BI52" i="2"/>
  <c r="BY52" i="2"/>
  <c r="BJ51" i="2"/>
  <c r="CV51" i="2" s="1"/>
  <c r="BR51" i="2"/>
  <c r="BM52" i="2"/>
  <c r="BU52" i="2"/>
  <c r="CC52" i="2"/>
  <c r="CK52" i="2"/>
  <c r="BQ52" i="2"/>
  <c r="CG52" i="2"/>
  <c r="BM43" i="2"/>
  <c r="CY43" i="2" s="1"/>
  <c r="BQ43" i="2"/>
  <c r="BK44" i="2"/>
  <c r="BO44" i="2"/>
  <c r="BS44" i="2"/>
  <c r="BW44" i="2"/>
  <c r="CA44" i="2"/>
  <c r="CE44" i="2"/>
  <c r="CI44" i="2"/>
  <c r="BJ43" i="2"/>
  <c r="CV43" i="2" s="1"/>
  <c r="BN43" i="2"/>
  <c r="CZ43" i="2" s="1"/>
  <c r="BR43" i="2"/>
  <c r="BL44" i="2"/>
  <c r="BP44" i="2"/>
  <c r="BT44" i="2"/>
  <c r="BX44" i="2"/>
  <c r="CB44" i="2"/>
  <c r="CF44" i="2"/>
  <c r="CJ44" i="2"/>
  <c r="BL43" i="2"/>
  <c r="CX43" i="2" s="1"/>
  <c r="BN44" i="2"/>
  <c r="BV44" i="2"/>
  <c r="CD44" i="2"/>
  <c r="CL44" i="2"/>
  <c r="BP43" i="2"/>
  <c r="BJ44" i="2"/>
  <c r="BR44" i="2"/>
  <c r="BZ44" i="2"/>
  <c r="CH44" i="2"/>
  <c r="BK43" i="2"/>
  <c r="CW43" i="2" s="1"/>
  <c r="BM44" i="2"/>
  <c r="CC44" i="2"/>
  <c r="BO43" i="2"/>
  <c r="DA43" i="2" s="1"/>
  <c r="BI44" i="2"/>
  <c r="BQ44" i="2"/>
  <c r="BY44" i="2"/>
  <c r="CG44" i="2"/>
  <c r="BU44" i="2"/>
  <c r="CK44" i="2"/>
  <c r="BJ21" i="2"/>
  <c r="CV21" i="2" s="1"/>
  <c r="BN21" i="2"/>
  <c r="CZ21" i="2" s="1"/>
  <c r="BR21" i="2"/>
  <c r="BI22" i="2"/>
  <c r="BM22" i="2"/>
  <c r="BQ22" i="2"/>
  <c r="BU22" i="2"/>
  <c r="BY22" i="2"/>
  <c r="CC22" i="2"/>
  <c r="CG22" i="2"/>
  <c r="CK22" i="2"/>
  <c r="BK21" i="2"/>
  <c r="CW21" i="2" s="1"/>
  <c r="BO21" i="2"/>
  <c r="DA21" i="2" s="1"/>
  <c r="BJ22" i="2"/>
  <c r="BN22" i="2"/>
  <c r="BR22" i="2"/>
  <c r="BV22" i="2"/>
  <c r="BZ22" i="2"/>
  <c r="CD22" i="2"/>
  <c r="CH22" i="2"/>
  <c r="CL22" i="2"/>
  <c r="BL21" i="2"/>
  <c r="CX21" i="2" s="1"/>
  <c r="BK22" i="2"/>
  <c r="BS22" i="2"/>
  <c r="CA22" i="2"/>
  <c r="CI22" i="2"/>
  <c r="BM21" i="2"/>
  <c r="CY21" i="2" s="1"/>
  <c r="BL22" i="2"/>
  <c r="BT22" i="2"/>
  <c r="CB22" i="2"/>
  <c r="CJ22" i="2"/>
  <c r="BX22" i="2"/>
  <c r="BQ21" i="2"/>
  <c r="BP22" i="2"/>
  <c r="CF22" i="2"/>
  <c r="BW22" i="2"/>
  <c r="BP21" i="2"/>
  <c r="BO22" i="2"/>
  <c r="CE22" i="2"/>
  <c r="BL29" i="2"/>
  <c r="CX29" i="2" s="1"/>
  <c r="BP29" i="2"/>
  <c r="BK30" i="2"/>
  <c r="BO30" i="2"/>
  <c r="BS30" i="2"/>
  <c r="BW30" i="2"/>
  <c r="CA30" i="2"/>
  <c r="CE30" i="2"/>
  <c r="CI30" i="2"/>
  <c r="BM29" i="2"/>
  <c r="CY29" i="2" s="1"/>
  <c r="BQ29" i="2"/>
  <c r="BL30" i="2"/>
  <c r="BP30" i="2"/>
  <c r="BT30" i="2"/>
  <c r="BX30" i="2"/>
  <c r="CB30" i="2"/>
  <c r="CF30" i="2"/>
  <c r="CJ30" i="2"/>
  <c r="BK29" i="2"/>
  <c r="CW29" i="2" s="1"/>
  <c r="BN30" i="2"/>
  <c r="BV30" i="2"/>
  <c r="CD30" i="2"/>
  <c r="CL30" i="2"/>
  <c r="BO29" i="2"/>
  <c r="DA29" i="2" s="1"/>
  <c r="BJ30" i="2"/>
  <c r="BR30" i="2"/>
  <c r="BZ30" i="2"/>
  <c r="CH30" i="2"/>
  <c r="BJ29" i="2"/>
  <c r="CV29" i="2" s="1"/>
  <c r="BR29" i="2"/>
  <c r="BM30" i="2"/>
  <c r="BU30" i="2"/>
  <c r="CC30" i="2"/>
  <c r="CK30" i="2"/>
  <c r="BN29" i="2"/>
  <c r="CZ29" i="2" s="1"/>
  <c r="BI30" i="2"/>
  <c r="BQ30" i="2"/>
  <c r="BY30" i="2"/>
  <c r="CG30" i="2"/>
  <c r="BS20" i="2"/>
  <c r="CA20" i="2"/>
  <c r="CI20" i="2"/>
  <c r="BM20" i="2"/>
  <c r="BZ20" i="2"/>
  <c r="BT20" i="2"/>
  <c r="CB20" i="2"/>
  <c r="CJ20" i="2"/>
  <c r="BN20" i="2"/>
  <c r="BU20" i="2"/>
  <c r="CC20" i="2"/>
  <c r="CK20" i="2"/>
  <c r="BO20" i="2"/>
  <c r="BV20" i="2"/>
  <c r="CD20" i="2"/>
  <c r="CL20" i="2"/>
  <c r="BP20" i="2"/>
  <c r="BW20" i="2"/>
  <c r="CE20" i="2"/>
  <c r="BR20" i="2"/>
  <c r="BQ20" i="2"/>
  <c r="BX20" i="2"/>
  <c r="CF20" i="2"/>
  <c r="BJ20" i="2"/>
  <c r="BI20" i="2"/>
  <c r="CH20" i="2"/>
  <c r="BY20" i="2"/>
  <c r="CG20" i="2"/>
  <c r="BK20" i="2"/>
  <c r="BL20" i="2"/>
  <c r="BK27" i="2"/>
  <c r="CW27" i="2" s="1"/>
  <c r="BO27" i="2"/>
  <c r="DA27" i="2" s="1"/>
  <c r="BJ28" i="2"/>
  <c r="BN28" i="2"/>
  <c r="BR28" i="2"/>
  <c r="BV28" i="2"/>
  <c r="BZ28" i="2"/>
  <c r="CD28" i="2"/>
  <c r="CH28" i="2"/>
  <c r="CL28" i="2"/>
  <c r="BJ27" i="2"/>
  <c r="CV27" i="2" s="1"/>
  <c r="BQ28" i="2"/>
  <c r="BY28" i="2"/>
  <c r="CG28" i="2"/>
  <c r="BL27" i="2"/>
  <c r="CX27" i="2" s="1"/>
  <c r="BP27" i="2"/>
  <c r="BK28" i="2"/>
  <c r="BO28" i="2"/>
  <c r="BS28" i="2"/>
  <c r="BW28" i="2"/>
  <c r="CA28" i="2"/>
  <c r="CE28" i="2"/>
  <c r="CI28" i="2"/>
  <c r="BN27" i="2"/>
  <c r="CZ27" i="2" s="1"/>
  <c r="BR27" i="2"/>
  <c r="BI28" i="2"/>
  <c r="BM28" i="2"/>
  <c r="BU28" i="2"/>
  <c r="CC28" i="2"/>
  <c r="CK28" i="2"/>
  <c r="BM27" i="2"/>
  <c r="CY27" i="2" s="1"/>
  <c r="BQ27" i="2"/>
  <c r="BL28" i="2"/>
  <c r="BP28" i="2"/>
  <c r="BT28" i="2"/>
  <c r="BX28" i="2"/>
  <c r="CB28" i="2"/>
  <c r="CF28" i="2"/>
  <c r="CJ28" i="2"/>
  <c r="BK25" i="2"/>
  <c r="CW25" i="2" s="1"/>
  <c r="BO25" i="2"/>
  <c r="DA25" i="2" s="1"/>
  <c r="BK26" i="2"/>
  <c r="BO26" i="2"/>
  <c r="BS26" i="2"/>
  <c r="BW26" i="2"/>
  <c r="CA26" i="2"/>
  <c r="CE26" i="2"/>
  <c r="CI26" i="2"/>
  <c r="BM26" i="2"/>
  <c r="BU26" i="2"/>
  <c r="CC26" i="2"/>
  <c r="CK26" i="2"/>
  <c r="BJ25" i="2"/>
  <c r="CV25" i="2" s="1"/>
  <c r="BJ26" i="2"/>
  <c r="BR26" i="2"/>
  <c r="BZ26" i="2"/>
  <c r="CH26" i="2"/>
  <c r="BL25" i="2"/>
  <c r="CX25" i="2" s="1"/>
  <c r="BP25" i="2"/>
  <c r="BL26" i="2"/>
  <c r="BP26" i="2"/>
  <c r="BT26" i="2"/>
  <c r="BX26" i="2"/>
  <c r="CB26" i="2"/>
  <c r="CF26" i="2"/>
  <c r="CJ26" i="2"/>
  <c r="BM25" i="2"/>
  <c r="CY25" i="2" s="1"/>
  <c r="BQ25" i="2"/>
  <c r="BI26" i="2"/>
  <c r="BQ26" i="2"/>
  <c r="BY26" i="2"/>
  <c r="CG26" i="2"/>
  <c r="BN25" i="2"/>
  <c r="CZ25" i="2" s="1"/>
  <c r="BR25" i="2"/>
  <c r="BN26" i="2"/>
  <c r="BV26" i="2"/>
  <c r="CD26" i="2"/>
  <c r="CL26" i="2"/>
  <c r="AB38" i="2"/>
  <c r="AF38" i="2"/>
  <c r="AJ38" i="2"/>
  <c r="AC38" i="2"/>
  <c r="AG38" i="2"/>
  <c r="AK38" i="2"/>
  <c r="Z38" i="2"/>
  <c r="AH38" i="2"/>
  <c r="AA38" i="2"/>
  <c r="AI38" i="2"/>
  <c r="AD38" i="2"/>
  <c r="AL38" i="2"/>
  <c r="AE38" i="2"/>
  <c r="AM38" i="2"/>
  <c r="BN19" i="2"/>
  <c r="CZ19" i="2" s="1"/>
  <c r="BJ19" i="2"/>
  <c r="CV19" i="2" s="1"/>
  <c r="BK19" i="2"/>
  <c r="CW19" i="2" s="1"/>
  <c r="BO19" i="2"/>
  <c r="DA19" i="2" s="1"/>
  <c r="BP19" i="2"/>
  <c r="BQ19" i="2"/>
  <c r="BL19" i="2"/>
  <c r="CX19" i="2" s="1"/>
  <c r="BM19" i="2"/>
  <c r="CY19" i="2" s="1"/>
  <c r="BI61" i="2"/>
  <c r="CU61" i="2" s="1"/>
  <c r="BJ62" i="2"/>
  <c r="BJ61" i="2"/>
  <c r="CV61" i="2" s="1"/>
  <c r="BK62" i="2"/>
  <c r="BK61" i="2"/>
  <c r="CW61" i="2" s="1"/>
  <c r="BM61" i="2"/>
  <c r="CY61" i="2" s="1"/>
  <c r="BQ61" i="2"/>
  <c r="BN62" i="2"/>
  <c r="BR62" i="2"/>
  <c r="BN61" i="2"/>
  <c r="CZ61" i="2" s="1"/>
  <c r="BR61" i="2"/>
  <c r="BO62" i="2"/>
  <c r="BI62" i="2"/>
  <c r="BO61" i="2"/>
  <c r="DA61" i="2" s="1"/>
  <c r="BL62" i="2"/>
  <c r="BP62" i="2"/>
  <c r="BP61" i="2"/>
  <c r="BM62" i="2"/>
  <c r="BQ62" i="2"/>
  <c r="BL61" i="2"/>
  <c r="CX61" i="2" s="1"/>
  <c r="BK59" i="2"/>
  <c r="CW59" i="2" s="1"/>
  <c r="BI60" i="2"/>
  <c r="BI59" i="2"/>
  <c r="CU59" i="2" s="1"/>
  <c r="BJ60" i="2"/>
  <c r="BJ59" i="2"/>
  <c r="CV59" i="2" s="1"/>
  <c r="BO59" i="2"/>
  <c r="DA59" i="2" s="1"/>
  <c r="BL60" i="2"/>
  <c r="BP60" i="2"/>
  <c r="BK60" i="2"/>
  <c r="BL59" i="2"/>
  <c r="CX59" i="2" s="1"/>
  <c r="BP59" i="2"/>
  <c r="BM60" i="2"/>
  <c r="BQ60" i="2"/>
  <c r="BM59" i="2"/>
  <c r="CY59" i="2" s="1"/>
  <c r="BQ59" i="2"/>
  <c r="BN60" i="2"/>
  <c r="BR60" i="2"/>
  <c r="BN59" i="2"/>
  <c r="CZ59" i="2" s="1"/>
  <c r="BR59" i="2"/>
  <c r="BO60" i="2"/>
  <c r="BI65" i="2"/>
  <c r="CU65" i="2" s="1"/>
  <c r="BJ66" i="2"/>
  <c r="BJ65" i="2"/>
  <c r="CV65" i="2" s="1"/>
  <c r="BK66" i="2"/>
  <c r="BK65" i="2"/>
  <c r="CW65" i="2" s="1"/>
  <c r="BM65" i="2"/>
  <c r="CY65" i="2" s="1"/>
  <c r="BQ65" i="2"/>
  <c r="BN66" i="2"/>
  <c r="BR66" i="2"/>
  <c r="BI66" i="2"/>
  <c r="BN65" i="2"/>
  <c r="CZ65" i="2" s="1"/>
  <c r="BR65" i="2"/>
  <c r="BO66" i="2"/>
  <c r="BO65" i="2"/>
  <c r="DA65" i="2" s="1"/>
  <c r="BL66" i="2"/>
  <c r="BP66" i="2"/>
  <c r="BM66" i="2"/>
  <c r="BQ66" i="2"/>
  <c r="BL65" i="2"/>
  <c r="CX65" i="2" s="1"/>
  <c r="BP65" i="2"/>
  <c r="BK67" i="2"/>
  <c r="CW67" i="2" s="1"/>
  <c r="BI68" i="2"/>
  <c r="BI67" i="2"/>
  <c r="CU67" i="2" s="1"/>
  <c r="BJ68" i="2"/>
  <c r="BO67" i="2"/>
  <c r="DA67" i="2" s="1"/>
  <c r="BL68" i="2"/>
  <c r="BP68" i="2"/>
  <c r="BL67" i="2"/>
  <c r="CX67" i="2" s="1"/>
  <c r="BP67" i="2"/>
  <c r="BM68" i="2"/>
  <c r="BQ68" i="2"/>
  <c r="BJ67" i="2"/>
  <c r="CV67" i="2" s="1"/>
  <c r="BM67" i="2"/>
  <c r="CY67" i="2" s="1"/>
  <c r="BQ67" i="2"/>
  <c r="BN68" i="2"/>
  <c r="BR68" i="2"/>
  <c r="BK68" i="2"/>
  <c r="BO68" i="2"/>
  <c r="BN67" i="2"/>
  <c r="CZ67" i="2" s="1"/>
  <c r="BR67" i="2"/>
  <c r="BK63" i="2"/>
  <c r="CW63" i="2" s="1"/>
  <c r="BI64" i="2"/>
  <c r="BI63" i="2"/>
  <c r="CU63" i="2" s="1"/>
  <c r="BJ64" i="2"/>
  <c r="BK64" i="2"/>
  <c r="BO63" i="2"/>
  <c r="DA63" i="2" s="1"/>
  <c r="BL64" i="2"/>
  <c r="BP64" i="2"/>
  <c r="BL63" i="2"/>
  <c r="CX63" i="2" s="1"/>
  <c r="BP63" i="2"/>
  <c r="BM64" i="2"/>
  <c r="BQ64" i="2"/>
  <c r="BM63" i="2"/>
  <c r="CY63" i="2" s="1"/>
  <c r="BQ63" i="2"/>
  <c r="BN64" i="2"/>
  <c r="BR64" i="2"/>
  <c r="BJ63" i="2"/>
  <c r="CV63" i="2" s="1"/>
  <c r="BR63" i="2"/>
  <c r="BO64" i="2"/>
  <c r="BN63" i="2"/>
  <c r="CZ63" i="2" s="1"/>
  <c r="DN19" i="2"/>
  <c r="BR19" i="2"/>
  <c r="DN23" i="2"/>
  <c r="DZ35" i="2"/>
  <c r="DZ67" i="2"/>
  <c r="AN68" i="2"/>
  <c r="DZ65" i="2"/>
  <c r="AN66" i="2"/>
  <c r="DZ49" i="2"/>
  <c r="AN50" i="2"/>
  <c r="DZ53" i="2"/>
  <c r="AN54" i="2"/>
  <c r="DZ47" i="2"/>
  <c r="AN48" i="2"/>
  <c r="DZ51" i="2"/>
  <c r="DZ61" i="2"/>
  <c r="AN62" i="2"/>
  <c r="DZ45" i="2"/>
  <c r="DZ59" i="2"/>
  <c r="AN60" i="2"/>
  <c r="DZ57" i="2"/>
  <c r="AN58" i="2"/>
  <c r="DZ63" i="2"/>
  <c r="AN64" i="2"/>
  <c r="DZ55" i="2"/>
  <c r="AN56" i="2"/>
  <c r="DZ39" i="2"/>
  <c r="X38" i="2"/>
  <c r="Y38" i="2"/>
  <c r="W38" i="2"/>
  <c r="DZ41" i="2"/>
  <c r="DZ43" i="2"/>
  <c r="DZ31" i="2"/>
  <c r="DZ29" i="2"/>
  <c r="DZ27" i="2"/>
  <c r="DZ21" i="2"/>
  <c r="DZ23" i="2"/>
  <c r="DZ19" i="2"/>
  <c r="DZ25" i="2"/>
  <c r="F26" i="2"/>
  <c r="DZ33" i="2"/>
  <c r="EA65" i="2"/>
  <c r="EA49" i="2"/>
  <c r="EA63" i="2"/>
  <c r="EA55" i="2"/>
  <c r="EA47" i="2"/>
  <c r="EA39" i="2"/>
  <c r="EA25" i="2"/>
  <c r="EA33" i="2"/>
  <c r="EA57" i="2"/>
  <c r="EA41" i="2"/>
  <c r="EA23" i="2"/>
  <c r="EA31" i="2"/>
  <c r="EA19" i="2"/>
  <c r="EA61" i="2"/>
  <c r="EA53" i="2"/>
  <c r="EA45" i="2"/>
  <c r="EA35" i="2"/>
  <c r="EA27" i="2"/>
  <c r="EA67" i="2"/>
  <c r="EA59" i="2"/>
  <c r="EA51" i="2"/>
  <c r="EA43" i="2"/>
  <c r="EA21" i="2"/>
  <c r="EA29" i="2"/>
  <c r="F28" i="2"/>
  <c r="F20" i="2"/>
  <c r="EN59" i="2"/>
  <c r="ER59" i="2"/>
  <c r="EV59" i="2"/>
  <c r="EZ59" i="2"/>
  <c r="FD59" i="2"/>
  <c r="EO59" i="2"/>
  <c r="ET59" i="2"/>
  <c r="EY59" i="2"/>
  <c r="EM59" i="2"/>
  <c r="ES59" i="2"/>
  <c r="FC59" i="2"/>
  <c r="EK59" i="2"/>
  <c r="EP59" i="2"/>
  <c r="EU59" i="2"/>
  <c r="FA59" i="2"/>
  <c r="EL59" i="2"/>
  <c r="EQ59" i="2"/>
  <c r="EW59" i="2"/>
  <c r="FB59" i="2"/>
  <c r="EX59" i="2"/>
  <c r="EK65" i="2"/>
  <c r="EO65" i="2"/>
  <c r="ES65" i="2"/>
  <c r="EW65" i="2"/>
  <c r="FA65" i="2"/>
  <c r="EN65" i="2"/>
  <c r="ET65" i="2"/>
  <c r="EY65" i="2"/>
  <c r="FD65" i="2"/>
  <c r="EX65" i="2"/>
  <c r="EP65" i="2"/>
  <c r="EU65" i="2"/>
  <c r="EZ65" i="2"/>
  <c r="EL65" i="2"/>
  <c r="EQ65" i="2"/>
  <c r="EV65" i="2"/>
  <c r="FB65" i="2"/>
  <c r="EM65" i="2"/>
  <c r="ER65" i="2"/>
  <c r="FC65" i="2"/>
  <c r="EN67" i="2"/>
  <c r="ER67" i="2"/>
  <c r="EV67" i="2"/>
  <c r="EZ67" i="2"/>
  <c r="FD67" i="2"/>
  <c r="EK67" i="2"/>
  <c r="EP67" i="2"/>
  <c r="EU67" i="2"/>
  <c r="FA67" i="2"/>
  <c r="EY67" i="2"/>
  <c r="EL67" i="2"/>
  <c r="EQ67" i="2"/>
  <c r="EW67" i="2"/>
  <c r="FB67" i="2"/>
  <c r="EM67" i="2"/>
  <c r="ES67" i="2"/>
  <c r="EX67" i="2"/>
  <c r="FC67" i="2"/>
  <c r="EO67" i="2"/>
  <c r="ET67" i="2"/>
  <c r="EL63" i="2"/>
  <c r="EP63" i="2"/>
  <c r="ET63" i="2"/>
  <c r="EX63" i="2"/>
  <c r="FB63" i="2"/>
  <c r="EM63" i="2"/>
  <c r="ER63" i="2"/>
  <c r="EW63" i="2"/>
  <c r="FC63" i="2"/>
  <c r="EV63" i="2"/>
  <c r="EN63" i="2"/>
  <c r="ES63" i="2"/>
  <c r="EY63" i="2"/>
  <c r="FD63" i="2"/>
  <c r="EO63" i="2"/>
  <c r="EU63" i="2"/>
  <c r="EZ63" i="2"/>
  <c r="EK63" i="2"/>
  <c r="EQ63" i="2"/>
  <c r="FA63" i="2"/>
  <c r="F30" i="2"/>
  <c r="F22" i="2"/>
  <c r="EM61" i="2"/>
  <c r="EQ61" i="2"/>
  <c r="EU61" i="2"/>
  <c r="EY61" i="2"/>
  <c r="FC61" i="2"/>
  <c r="EK61" i="2"/>
  <c r="EP61" i="2"/>
  <c r="EV61" i="2"/>
  <c r="FA61" i="2"/>
  <c r="EO61" i="2"/>
  <c r="ET61" i="2"/>
  <c r="EL61" i="2"/>
  <c r="ER61" i="2"/>
  <c r="EW61" i="2"/>
  <c r="FB61" i="2"/>
  <c r="EN61" i="2"/>
  <c r="ES61" i="2"/>
  <c r="EX61" i="2"/>
  <c r="FD61" i="2"/>
  <c r="EZ61" i="2"/>
  <c r="H22" i="2"/>
  <c r="F17" i="3" s="1"/>
  <c r="H42" i="2"/>
  <c r="F27" i="3" s="1"/>
  <c r="H24" i="2"/>
  <c r="F18" i="3" s="1"/>
  <c r="H32" i="2"/>
  <c r="F22" i="3" s="1"/>
  <c r="H44" i="2"/>
  <c r="F28" i="3" s="1"/>
  <c r="E28" i="3" s="1"/>
  <c r="H30" i="2"/>
  <c r="F21" i="3" s="1"/>
  <c r="H40" i="2"/>
  <c r="F26" i="3" s="1"/>
  <c r="H26" i="2"/>
  <c r="F19" i="3" s="1"/>
  <c r="H34" i="2"/>
  <c r="F23" i="3" s="1"/>
  <c r="H36" i="2"/>
  <c r="F24" i="3" s="1"/>
  <c r="H28" i="2"/>
  <c r="F20" i="3" s="1"/>
  <c r="H54" i="2"/>
  <c r="H68" i="2"/>
  <c r="H60" i="2"/>
  <c r="H52" i="2"/>
  <c r="H46" i="2"/>
  <c r="H66" i="2"/>
  <c r="H58" i="2"/>
  <c r="H50" i="2"/>
  <c r="H62" i="2"/>
  <c r="H64" i="2"/>
  <c r="H56" i="2"/>
  <c r="H48" i="2"/>
  <c r="H20" i="2"/>
  <c r="F16" i="3" s="1"/>
  <c r="I64" i="2"/>
  <c r="H63" i="2" s="1"/>
  <c r="I62" i="2"/>
  <c r="H61" i="2" s="1"/>
  <c r="I66" i="2"/>
  <c r="H65" i="2" s="1"/>
  <c r="I68" i="2"/>
  <c r="H67" i="2" s="1"/>
  <c r="I60" i="2"/>
  <c r="H59" i="2" s="1"/>
  <c r="EM19" i="2"/>
  <c r="EV19" i="2"/>
  <c r="EN19" i="2"/>
  <c r="EW19" i="2"/>
  <c r="EY19" i="2"/>
  <c r="EO19" i="2"/>
  <c r="EX19" i="2"/>
  <c r="EQ19" i="2"/>
  <c r="EZ19" i="2"/>
  <c r="ES19" i="2"/>
  <c r="FA19" i="2"/>
  <c r="ER19" i="2"/>
  <c r="EU19" i="2"/>
  <c r="EP19" i="2"/>
  <c r="EL19" i="2"/>
  <c r="ET19" i="2"/>
  <c r="DN25" i="2"/>
  <c r="DN63" i="2"/>
  <c r="DN47" i="2"/>
  <c r="DN61" i="2"/>
  <c r="DN45" i="2"/>
  <c r="DN65" i="2"/>
  <c r="DN49" i="2"/>
  <c r="DN59" i="2"/>
  <c r="DN43" i="2"/>
  <c r="DN57" i="2"/>
  <c r="DN55" i="2"/>
  <c r="DN53" i="2"/>
  <c r="DN67" i="2"/>
  <c r="DN51" i="2"/>
  <c r="DN21" i="2"/>
  <c r="DN27" i="2"/>
  <c r="DN31" i="2"/>
  <c r="DN33" i="2"/>
  <c r="DN35" i="2"/>
  <c r="DN41" i="2"/>
  <c r="DN39" i="2"/>
  <c r="DN29" i="2"/>
  <c r="DD63" i="2"/>
  <c r="DG63" i="2"/>
  <c r="DF63" i="2"/>
  <c r="DE63" i="2"/>
  <c r="DD39" i="2"/>
  <c r="DF39" i="2"/>
  <c r="DG39" i="2"/>
  <c r="DE39" i="2"/>
  <c r="DD33" i="2"/>
  <c r="DF33" i="2"/>
  <c r="DG33" i="2"/>
  <c r="DE33" i="2"/>
  <c r="DD19" i="2"/>
  <c r="DF19" i="2"/>
  <c r="DG19" i="2"/>
  <c r="DE19" i="2"/>
  <c r="DD61" i="2"/>
  <c r="DG61" i="2"/>
  <c r="DF61" i="2"/>
  <c r="DE61" i="2"/>
  <c r="DD53" i="2"/>
  <c r="DF53" i="2"/>
  <c r="DG53" i="2"/>
  <c r="DE53" i="2"/>
  <c r="DD45" i="2"/>
  <c r="DF45" i="2"/>
  <c r="DG45" i="2"/>
  <c r="DE45" i="2"/>
  <c r="DD35" i="2"/>
  <c r="DF35" i="2"/>
  <c r="DG35" i="2"/>
  <c r="DE35" i="2"/>
  <c r="DD27" i="2"/>
  <c r="DF27" i="2"/>
  <c r="DG27" i="2"/>
  <c r="DE27" i="2"/>
  <c r="DD47" i="2"/>
  <c r="DF47" i="2"/>
  <c r="DG47" i="2"/>
  <c r="DE47" i="2"/>
  <c r="DD67" i="2"/>
  <c r="DG67" i="2"/>
  <c r="DF67" i="2"/>
  <c r="DE67" i="2"/>
  <c r="DD59" i="2"/>
  <c r="DG59" i="2"/>
  <c r="DF59" i="2"/>
  <c r="DE59" i="2"/>
  <c r="DD51" i="2"/>
  <c r="DF51" i="2"/>
  <c r="DG51" i="2"/>
  <c r="DE51" i="2"/>
  <c r="DD43" i="2"/>
  <c r="DF43" i="2"/>
  <c r="DG43" i="2"/>
  <c r="DE43" i="2"/>
  <c r="DD21" i="2"/>
  <c r="DF21" i="2"/>
  <c r="DG21" i="2"/>
  <c r="DE21" i="2"/>
  <c r="DD29" i="2"/>
  <c r="DF29" i="2"/>
  <c r="DG29" i="2"/>
  <c r="DE29" i="2"/>
  <c r="DD55" i="2"/>
  <c r="DF55" i="2"/>
  <c r="DG55" i="2"/>
  <c r="DE55" i="2"/>
  <c r="DD65" i="2"/>
  <c r="DG65" i="2"/>
  <c r="DF65" i="2"/>
  <c r="DE65" i="2"/>
  <c r="DD57" i="2"/>
  <c r="DF57" i="2"/>
  <c r="DG57" i="2"/>
  <c r="DE57" i="2"/>
  <c r="DD49" i="2"/>
  <c r="DF49" i="2"/>
  <c r="DG49" i="2"/>
  <c r="DE49" i="2"/>
  <c r="DD41" i="2"/>
  <c r="DF41" i="2"/>
  <c r="DG41" i="2"/>
  <c r="DE41" i="2"/>
  <c r="DD31" i="2"/>
  <c r="DF31" i="2"/>
  <c r="DG31" i="2"/>
  <c r="DE31" i="2"/>
  <c r="DE23" i="2"/>
  <c r="DD23" i="2"/>
  <c r="DF23" i="2"/>
  <c r="DG23" i="2"/>
  <c r="DE25" i="2"/>
  <c r="DF25" i="2"/>
  <c r="DD25" i="2"/>
  <c r="DG25" i="2"/>
  <c r="CU37" i="2"/>
  <c r="CY37" i="2"/>
  <c r="CV37" i="2"/>
  <c r="CZ37" i="2"/>
  <c r="DA37" i="2"/>
  <c r="CW37" i="2"/>
  <c r="CX37" i="2"/>
  <c r="G21" i="2"/>
  <c r="BX123" i="1"/>
  <c r="BY123" i="1" s="1"/>
  <c r="CP67" i="2"/>
  <c r="V38" i="2"/>
  <c r="FR80" i="2" l="1"/>
  <c r="FS80" i="2"/>
  <c r="FT80" i="2"/>
  <c r="FU80" i="2"/>
  <c r="FV80" i="2"/>
  <c r="FW80" i="2"/>
  <c r="FX80" i="2"/>
  <c r="FY80" i="2"/>
  <c r="FZ80" i="2"/>
  <c r="GA80" i="2"/>
  <c r="GB80" i="2"/>
  <c r="GC80" i="2"/>
  <c r="GD80" i="2"/>
  <c r="GE80" i="2"/>
  <c r="GF80" i="2"/>
  <c r="GG80" i="2"/>
  <c r="GH80" i="2"/>
  <c r="GI80" i="2"/>
  <c r="GJ80" i="2"/>
  <c r="GK80" i="2"/>
  <c r="GL80" i="2"/>
  <c r="GN80" i="2"/>
  <c r="GQ80" i="2"/>
  <c r="GS80" i="2"/>
  <c r="GP80" i="2"/>
  <c r="GR80" i="2"/>
  <c r="GM80" i="2"/>
  <c r="GO80" i="2"/>
  <c r="GU80" i="2"/>
  <c r="GT80" i="2"/>
  <c r="FS85" i="2"/>
  <c r="FY85" i="2"/>
  <c r="GB85" i="2"/>
  <c r="GF85" i="2"/>
  <c r="GJ85" i="2"/>
  <c r="GQ85" i="2"/>
  <c r="GU85" i="2"/>
  <c r="FT85" i="2"/>
  <c r="FX85" i="2"/>
  <c r="GA85" i="2"/>
  <c r="GD85" i="2"/>
  <c r="GH85" i="2"/>
  <c r="GM85" i="2"/>
  <c r="GR85" i="2"/>
  <c r="GP85" i="2"/>
  <c r="FV85" i="2"/>
  <c r="GE85" i="2"/>
  <c r="GI85" i="2"/>
  <c r="GN85" i="2"/>
  <c r="GS85" i="2"/>
  <c r="GK85" i="2"/>
  <c r="FR85" i="2"/>
  <c r="FU85" i="2"/>
  <c r="FW85" i="2"/>
  <c r="FZ85" i="2"/>
  <c r="GC85" i="2"/>
  <c r="GG85" i="2"/>
  <c r="GL85" i="2"/>
  <c r="GO85" i="2"/>
  <c r="GT85" i="2"/>
  <c r="FR90" i="2"/>
  <c r="FT90" i="2"/>
  <c r="FV90" i="2"/>
  <c r="FZ90" i="2"/>
  <c r="GD90" i="2"/>
  <c r="GH90" i="2"/>
  <c r="GN90" i="2"/>
  <c r="GS90" i="2"/>
  <c r="FW90" i="2"/>
  <c r="GF90" i="2"/>
  <c r="GM90" i="2"/>
  <c r="GT90" i="2"/>
  <c r="GA90" i="2"/>
  <c r="GI90" i="2"/>
  <c r="GO90" i="2"/>
  <c r="GC90" i="2"/>
  <c r="GJ90" i="2"/>
  <c r="GQ90" i="2"/>
  <c r="FX90" i="2"/>
  <c r="GE90" i="2"/>
  <c r="GL90" i="2"/>
  <c r="GR90" i="2"/>
  <c r="FS90" i="2"/>
  <c r="FU90" i="2"/>
  <c r="FY90" i="2"/>
  <c r="GB90" i="2"/>
  <c r="GG90" i="2"/>
  <c r="GK90" i="2"/>
  <c r="GP90" i="2"/>
  <c r="GU90" i="2"/>
  <c r="GN75" i="2"/>
  <c r="GD75" i="2"/>
  <c r="GP75" i="2"/>
  <c r="GE75" i="2"/>
  <c r="GR75" i="2"/>
  <c r="GG75" i="2"/>
  <c r="FY75" i="2"/>
  <c r="GQ75" i="2"/>
  <c r="GF75" i="2"/>
  <c r="FW75" i="2"/>
  <c r="GS75" i="2"/>
  <c r="FV75" i="2"/>
  <c r="GH75" i="2"/>
  <c r="GT75" i="2"/>
  <c r="GK75" i="2"/>
  <c r="FS75" i="2"/>
  <c r="GC75" i="2"/>
  <c r="GU75" i="2"/>
  <c r="GO75" i="2"/>
  <c r="FZ75" i="2"/>
  <c r="GB75" i="2"/>
  <c r="GL75" i="2"/>
  <c r="GJ75" i="2"/>
  <c r="GM75" i="2"/>
  <c r="FR75" i="2"/>
  <c r="FT75" i="2"/>
  <c r="FX75" i="2"/>
  <c r="FU75" i="2"/>
  <c r="GI75" i="2"/>
  <c r="GA75" i="2"/>
  <c r="FI26" i="2"/>
  <c r="FI79" i="2" s="1"/>
  <c r="FM24" i="2"/>
  <c r="FM77" i="2" s="1"/>
  <c r="FG22" i="2"/>
  <c r="FG75" i="2" s="1"/>
  <c r="EX22" i="2"/>
  <c r="EX75" i="2" s="1"/>
  <c r="HL19" i="2"/>
  <c r="HL21" i="2"/>
  <c r="HN21" i="2" s="1"/>
  <c r="E17" i="3"/>
  <c r="DM23" i="2"/>
  <c r="DM29" i="2"/>
  <c r="EO34" i="2"/>
  <c r="EO87" i="2" s="1"/>
  <c r="EK30" i="2"/>
  <c r="EK83" i="2" s="1"/>
  <c r="FF34" i="2"/>
  <c r="FF87" i="2" s="1"/>
  <c r="HL23" i="2"/>
  <c r="HL25" i="2"/>
  <c r="HN25" i="2" s="1"/>
  <c r="HN39" i="2"/>
  <c r="FJ40" i="2"/>
  <c r="FJ93" i="2" s="1"/>
  <c r="ER40" i="2"/>
  <c r="ER93" i="2" s="1"/>
  <c r="DM41" i="2"/>
  <c r="EM42" i="2"/>
  <c r="EM95" i="2" s="1"/>
  <c r="EQ42" i="2"/>
  <c r="EQ95" i="2" s="1"/>
  <c r="EU28" i="2"/>
  <c r="EU81" i="2" s="1"/>
  <c r="EP36" i="2"/>
  <c r="EP89" i="2" s="1"/>
  <c r="EM46" i="2"/>
  <c r="EM99" i="2" s="1"/>
  <c r="E29" i="3"/>
  <c r="EM52" i="2"/>
  <c r="EM105" i="2" s="1"/>
  <c r="E32" i="3"/>
  <c r="EM50" i="2"/>
  <c r="EM103" i="2" s="1"/>
  <c r="E31" i="3"/>
  <c r="EM58" i="2"/>
  <c r="EM111" i="2" s="1"/>
  <c r="E35" i="3"/>
  <c r="EK20" i="2"/>
  <c r="EK73" i="2" s="1"/>
  <c r="FJ48" i="2"/>
  <c r="FJ101" i="2" s="1"/>
  <c r="ET28" i="2"/>
  <c r="ET81" i="2" s="1"/>
  <c r="EU46" i="2"/>
  <c r="EU99" i="2" s="1"/>
  <c r="EU52" i="2"/>
  <c r="EU105" i="2" s="1"/>
  <c r="EY36" i="2"/>
  <c r="EY89" i="2" s="1"/>
  <c r="EV34" i="2"/>
  <c r="EV87" i="2" s="1"/>
  <c r="EO40" i="2"/>
  <c r="EO93" i="2" s="1"/>
  <c r="FA26" i="2"/>
  <c r="FA79" i="2" s="1"/>
  <c r="EM54" i="2"/>
  <c r="EM107" i="2" s="1"/>
  <c r="E33" i="3"/>
  <c r="FK54" i="2"/>
  <c r="FK107" i="2" s="1"/>
  <c r="ER54" i="2"/>
  <c r="ER107" i="2" s="1"/>
  <c r="FC24" i="2"/>
  <c r="FC77" i="2" s="1"/>
  <c r="E19" i="3"/>
  <c r="EM36" i="2"/>
  <c r="EM89" i="2" s="1"/>
  <c r="FI44" i="2"/>
  <c r="FI97" i="2" s="1"/>
  <c r="FL44" i="2"/>
  <c r="FL97" i="2" s="1"/>
  <c r="FJ46" i="2"/>
  <c r="FJ99" i="2" s="1"/>
  <c r="FD46" i="2"/>
  <c r="FD99" i="2" s="1"/>
  <c r="FG50" i="2"/>
  <c r="FG103" i="2" s="1"/>
  <c r="FK50" i="2"/>
  <c r="FK103" i="2" s="1"/>
  <c r="FA50" i="2"/>
  <c r="FA103" i="2" s="1"/>
  <c r="EO52" i="2"/>
  <c r="EO105" i="2" s="1"/>
  <c r="FD52" i="2"/>
  <c r="FD105" i="2" s="1"/>
  <c r="FN36" i="2"/>
  <c r="FN89" i="2" s="1"/>
  <c r="EX30" i="2"/>
  <c r="EX83" i="2" s="1"/>
  <c r="FN30" i="2"/>
  <c r="FN83" i="2" s="1"/>
  <c r="ES34" i="2"/>
  <c r="ES87" i="2" s="1"/>
  <c r="EP48" i="2"/>
  <c r="EP101" i="2" s="1"/>
  <c r="EW48" i="2"/>
  <c r="EW101" i="2" s="1"/>
  <c r="FE56" i="2"/>
  <c r="FE109" i="2" s="1"/>
  <c r="FF22" i="2"/>
  <c r="FF75" i="2" s="1"/>
  <c r="FM22" i="2"/>
  <c r="FM75" i="2" s="1"/>
  <c r="FI22" i="2"/>
  <c r="FI75" i="2" s="1"/>
  <c r="FE40" i="2"/>
  <c r="FE93" i="2" s="1"/>
  <c r="EK40" i="2"/>
  <c r="EK93" i="2" s="1"/>
  <c r="EK32" i="2"/>
  <c r="EK85" i="2" s="1"/>
  <c r="FB32" i="2"/>
  <c r="ES32" i="2"/>
  <c r="EN26" i="2"/>
  <c r="EN79" i="2" s="1"/>
  <c r="ER26" i="2"/>
  <c r="ER79" i="2" s="1"/>
  <c r="EO26" i="2"/>
  <c r="EO79" i="2" s="1"/>
  <c r="FK26" i="2"/>
  <c r="FK79" i="2" s="1"/>
  <c r="FK28" i="2"/>
  <c r="FK81" i="2" s="1"/>
  <c r="ER28" i="2"/>
  <c r="ER81" i="2" s="1"/>
  <c r="FC54" i="2"/>
  <c r="FC107" i="2" s="1"/>
  <c r="EY24" i="2"/>
  <c r="EY77" i="2" s="1"/>
  <c r="FI24" i="2"/>
  <c r="FI77" i="2" s="1"/>
  <c r="EQ24" i="2"/>
  <c r="EQ77" i="2" s="1"/>
  <c r="EW58" i="2"/>
  <c r="EW111" i="2" s="1"/>
  <c r="FG58" i="2"/>
  <c r="FG111" i="2" s="1"/>
  <c r="EZ58" i="2"/>
  <c r="EZ111" i="2" s="1"/>
  <c r="FN42" i="2"/>
  <c r="FN95" i="2" s="1"/>
  <c r="EX42" i="2"/>
  <c r="EX95" i="2" s="1"/>
  <c r="ES44" i="2"/>
  <c r="ES97" i="2" s="1"/>
  <c r="EO36" i="2"/>
  <c r="EO89" i="2" s="1"/>
  <c r="EQ30" i="2"/>
  <c r="EQ83" i="2" s="1"/>
  <c r="EX48" i="2"/>
  <c r="EX101" i="2" s="1"/>
  <c r="FB22" i="2"/>
  <c r="FB75" i="2" s="1"/>
  <c r="FM26" i="2"/>
  <c r="FM79" i="2" s="1"/>
  <c r="ET54" i="2"/>
  <c r="ET107" i="2" s="1"/>
  <c r="FN58" i="2"/>
  <c r="FN111" i="2" s="1"/>
  <c r="ET26" i="2"/>
  <c r="ET79" i="2" s="1"/>
  <c r="EM28" i="2"/>
  <c r="EM81" i="2" s="1"/>
  <c r="EM44" i="2"/>
  <c r="EM97" i="2" s="1"/>
  <c r="EK44" i="2"/>
  <c r="EK97" i="2" s="1"/>
  <c r="EZ44" i="2"/>
  <c r="EZ97" i="2" s="1"/>
  <c r="EN46" i="2"/>
  <c r="EN99" i="2" s="1"/>
  <c r="FN46" i="2"/>
  <c r="FN99" i="2" s="1"/>
  <c r="EW50" i="2"/>
  <c r="EW103" i="2" s="1"/>
  <c r="FI50" i="2"/>
  <c r="FI103" i="2" s="1"/>
  <c r="EO50" i="2"/>
  <c r="EO103" i="2" s="1"/>
  <c r="EK52" i="2"/>
  <c r="EK105" i="2" s="1"/>
  <c r="EZ52" i="2"/>
  <c r="EZ105" i="2" s="1"/>
  <c r="FN52" i="2"/>
  <c r="FN105" i="2" s="1"/>
  <c r="FD36" i="2"/>
  <c r="FD89" i="2" s="1"/>
  <c r="EX36" i="2"/>
  <c r="EX89" i="2" s="1"/>
  <c r="EV30" i="2"/>
  <c r="EV83" i="2" s="1"/>
  <c r="FB30" i="2"/>
  <c r="FB83" i="2" s="1"/>
  <c r="EN34" i="2"/>
  <c r="EN87" i="2" s="1"/>
  <c r="ER34" i="2"/>
  <c r="ER87" i="2" s="1"/>
  <c r="FJ34" i="2"/>
  <c r="FJ87" i="2" s="1"/>
  <c r="EM48" i="2"/>
  <c r="EM101" i="2" s="1"/>
  <c r="E30" i="3"/>
  <c r="EO48" i="2"/>
  <c r="EO101" i="2" s="1"/>
  <c r="EK48" i="2"/>
  <c r="EK101" i="2" s="1"/>
  <c r="EM56" i="2"/>
  <c r="EM109" i="2" s="1"/>
  <c r="E34" i="3"/>
  <c r="FJ56" i="2"/>
  <c r="FJ109" i="2" s="1"/>
  <c r="FD56" i="2"/>
  <c r="FD109" i="2" s="1"/>
  <c r="FE22" i="2"/>
  <c r="FE75" i="2" s="1"/>
  <c r="FA22" i="2"/>
  <c r="FA75" i="2" s="1"/>
  <c r="EW22" i="2"/>
  <c r="EW75" i="2" s="1"/>
  <c r="FD40" i="2"/>
  <c r="FD93" i="2" s="1"/>
  <c r="FH40" i="2"/>
  <c r="FH93" i="2" s="1"/>
  <c r="FN32" i="2"/>
  <c r="FA32" i="2"/>
  <c r="FA85" i="2" s="1"/>
  <c r="EO32" i="2"/>
  <c r="EO85" i="2" s="1"/>
  <c r="ET32" i="2"/>
  <c r="ET85" i="2" s="1"/>
  <c r="FN26" i="2"/>
  <c r="FN79" i="2" s="1"/>
  <c r="FL26" i="2"/>
  <c r="FL79" i="2" s="1"/>
  <c r="FH26" i="2"/>
  <c r="FH79" i="2" s="1"/>
  <c r="EQ28" i="2"/>
  <c r="EQ81" i="2" s="1"/>
  <c r="FI28" i="2"/>
  <c r="FI81" i="2" s="1"/>
  <c r="FH54" i="2"/>
  <c r="FH107" i="2" s="1"/>
  <c r="EW54" i="2"/>
  <c r="EW107" i="2" s="1"/>
  <c r="EQ54" i="2"/>
  <c r="EQ107" i="2" s="1"/>
  <c r="EX24" i="2"/>
  <c r="EX77" i="2" s="1"/>
  <c r="EK24" i="2"/>
  <c r="EK77" i="2" s="1"/>
  <c r="FN24" i="2"/>
  <c r="FN77" i="2" s="1"/>
  <c r="EK58" i="2"/>
  <c r="EK111" i="2" s="1"/>
  <c r="EN58" i="2"/>
  <c r="EN111" i="2" s="1"/>
  <c r="ER42" i="2"/>
  <c r="ER95" i="2" s="1"/>
  <c r="FI42" i="2"/>
  <c r="FI95" i="2" s="1"/>
  <c r="EP44" i="2"/>
  <c r="EP97" i="2" s="1"/>
  <c r="ET50" i="2"/>
  <c r="ET103" i="2" s="1"/>
  <c r="FK36" i="2"/>
  <c r="FK89" i="2" s="1"/>
  <c r="FH34" i="2"/>
  <c r="FH87" i="2" s="1"/>
  <c r="ET56" i="2"/>
  <c r="ET109" i="2" s="1"/>
  <c r="EP26" i="2"/>
  <c r="EP79" i="2" s="1"/>
  <c r="FM54" i="2"/>
  <c r="FM107" i="2" s="1"/>
  <c r="ET42" i="2"/>
  <c r="ET95" i="2" s="1"/>
  <c r="FA44" i="2"/>
  <c r="FA97" i="2" s="1"/>
  <c r="FB46" i="2"/>
  <c r="FB99" i="2" s="1"/>
  <c r="EQ46" i="2"/>
  <c r="EQ99" i="2" s="1"/>
  <c r="FA52" i="2"/>
  <c r="FA105" i="2" s="1"/>
  <c r="FK30" i="2"/>
  <c r="FK83" i="2" s="1"/>
  <c r="ES56" i="2"/>
  <c r="ES109" i="2" s="1"/>
  <c r="EX58" i="2"/>
  <c r="EX111" i="2" s="1"/>
  <c r="FD44" i="2"/>
  <c r="FD97" i="2" s="1"/>
  <c r="FM44" i="2"/>
  <c r="FM97" i="2" s="1"/>
  <c r="EX46" i="2"/>
  <c r="EX99" i="2" s="1"/>
  <c r="FK46" i="2"/>
  <c r="FK99" i="2" s="1"/>
  <c r="EK50" i="2"/>
  <c r="EK103" i="2" s="1"/>
  <c r="EX50" i="2"/>
  <c r="EX103" i="2" s="1"/>
  <c r="EQ50" i="2"/>
  <c r="EQ103" i="2" s="1"/>
  <c r="EN52" i="2"/>
  <c r="EN105" i="2" s="1"/>
  <c r="EW52" i="2"/>
  <c r="EW105" i="2" s="1"/>
  <c r="FB52" i="2"/>
  <c r="FB105" i="2" s="1"/>
  <c r="FC36" i="2"/>
  <c r="FC89" i="2" s="1"/>
  <c r="FJ36" i="2"/>
  <c r="FJ89" i="2" s="1"/>
  <c r="EU30" i="2"/>
  <c r="EU83" i="2" s="1"/>
  <c r="FH30" i="2"/>
  <c r="FH83" i="2" s="1"/>
  <c r="EP30" i="2"/>
  <c r="EP83" i="2" s="1"/>
  <c r="EU34" i="2"/>
  <c r="EU87" i="2" s="1"/>
  <c r="EX34" i="2"/>
  <c r="EX87" i="2" s="1"/>
  <c r="FB48" i="2"/>
  <c r="FB101" i="2" s="1"/>
  <c r="FH48" i="2"/>
  <c r="FH101" i="2" s="1"/>
  <c r="FM56" i="2"/>
  <c r="FM109" i="2" s="1"/>
  <c r="FC56" i="2"/>
  <c r="FC109" i="2" s="1"/>
  <c r="FC22" i="2"/>
  <c r="FC75" i="2" s="1"/>
  <c r="EO22" i="2"/>
  <c r="EO75" i="2" s="1"/>
  <c r="EK22" i="2"/>
  <c r="EK75" i="2" s="1"/>
  <c r="FB40" i="2"/>
  <c r="FB93" i="2" s="1"/>
  <c r="EV40" i="2"/>
  <c r="EV93" i="2" s="1"/>
  <c r="FL32" i="2"/>
  <c r="FL85" i="2" s="1"/>
  <c r="EZ32" i="2"/>
  <c r="EZ85" i="2" s="1"/>
  <c r="FD32" i="2"/>
  <c r="ES26" i="2"/>
  <c r="ES79" i="2" s="1"/>
  <c r="EZ26" i="2"/>
  <c r="EZ79" i="2" s="1"/>
  <c r="EV26" i="2"/>
  <c r="EV79" i="2" s="1"/>
  <c r="FN28" i="2"/>
  <c r="FN81" i="2" s="1"/>
  <c r="EW28" i="2"/>
  <c r="EW81" i="2" s="1"/>
  <c r="EU54" i="2"/>
  <c r="EU107" i="2" s="1"/>
  <c r="FG54" i="2"/>
  <c r="FG107" i="2" s="1"/>
  <c r="FE54" i="2"/>
  <c r="FE107" i="2" s="1"/>
  <c r="EW24" i="2"/>
  <c r="EW77" i="2" s="1"/>
  <c r="FH24" i="2"/>
  <c r="FH77" i="2" s="1"/>
  <c r="FB24" i="2"/>
  <c r="FB77" i="2" s="1"/>
  <c r="EY58" i="2"/>
  <c r="EY111" i="2" s="1"/>
  <c r="FD58" i="2"/>
  <c r="FD111" i="2" s="1"/>
  <c r="EP42" i="2"/>
  <c r="EP95" i="2" s="1"/>
  <c r="EW42" i="2"/>
  <c r="EW95" i="2" s="1"/>
  <c r="EN36" i="2"/>
  <c r="EN89" i="2" s="1"/>
  <c r="FG36" i="2"/>
  <c r="FG89" i="2" s="1"/>
  <c r="FC30" i="2"/>
  <c r="FC83" i="2" s="1"/>
  <c r="EU32" i="2"/>
  <c r="EU85" i="2" s="1"/>
  <c r="FB26" i="2"/>
  <c r="FB79" i="2" s="1"/>
  <c r="FB28" i="2"/>
  <c r="FB81" i="2" s="1"/>
  <c r="FC46" i="2"/>
  <c r="FC99" i="2" s="1"/>
  <c r="EX52" i="2"/>
  <c r="EX105" i="2" s="1"/>
  <c r="FL30" i="2"/>
  <c r="FL83" i="2" s="1"/>
  <c r="ER48" i="2"/>
  <c r="ER101" i="2" s="1"/>
  <c r="FH22" i="2"/>
  <c r="FH75" i="2" s="1"/>
  <c r="FJ32" i="2"/>
  <c r="FJ85" i="2" s="1"/>
  <c r="EW26" i="2"/>
  <c r="EW79" i="2" s="1"/>
  <c r="EO24" i="2"/>
  <c r="EO77" i="2" s="1"/>
  <c r="ER24" i="2"/>
  <c r="ER77" i="2" s="1"/>
  <c r="ER44" i="2"/>
  <c r="ER97" i="2" s="1"/>
  <c r="ES52" i="2"/>
  <c r="ES105" i="2" s="1"/>
  <c r="FC34" i="2"/>
  <c r="FC87" i="2" s="1"/>
  <c r="FI56" i="2"/>
  <c r="FI109" i="2" s="1"/>
  <c r="FL22" i="2"/>
  <c r="FL75" i="2" s="1"/>
  <c r="EK26" i="2"/>
  <c r="EK79" i="2" s="1"/>
  <c r="FL24" i="2"/>
  <c r="FL77" i="2" s="1"/>
  <c r="ES42" i="2"/>
  <c r="ES95" i="2" s="1"/>
  <c r="EM22" i="2"/>
  <c r="EM75" i="2" s="1"/>
  <c r="EM34" i="2"/>
  <c r="EM87" i="2" s="1"/>
  <c r="FF44" i="2"/>
  <c r="FF97" i="2" s="1"/>
  <c r="EN44" i="2"/>
  <c r="EN97" i="2" s="1"/>
  <c r="FF46" i="2"/>
  <c r="FF99" i="2" s="1"/>
  <c r="ET46" i="2"/>
  <c r="ET99" i="2" s="1"/>
  <c r="EP46" i="2"/>
  <c r="EP99" i="2" s="1"/>
  <c r="FF50" i="2"/>
  <c r="FF103" i="2" s="1"/>
  <c r="FH50" i="2"/>
  <c r="FH103" i="2" s="1"/>
  <c r="FL50" i="2"/>
  <c r="FL103" i="2" s="1"/>
  <c r="FL52" i="2"/>
  <c r="FL105" i="2" s="1"/>
  <c r="FM52" i="2"/>
  <c r="FM105" i="2" s="1"/>
  <c r="EP52" i="2"/>
  <c r="EP105" i="2" s="1"/>
  <c r="FE36" i="2"/>
  <c r="FE89" i="2" s="1"/>
  <c r="FI36" i="2"/>
  <c r="FI89" i="2" s="1"/>
  <c r="EW30" i="2"/>
  <c r="EW83" i="2" s="1"/>
  <c r="FG30" i="2"/>
  <c r="FG83" i="2" s="1"/>
  <c r="FM30" i="2"/>
  <c r="FM83" i="2" s="1"/>
  <c r="ET34" i="2"/>
  <c r="ET87" i="2" s="1"/>
  <c r="FM48" i="2"/>
  <c r="FM101" i="2" s="1"/>
  <c r="EV48" i="2"/>
  <c r="EV101" i="2" s="1"/>
  <c r="EY56" i="2"/>
  <c r="EY109" i="2" s="1"/>
  <c r="FL56" i="2"/>
  <c r="FL109" i="2" s="1"/>
  <c r="EQ56" i="2"/>
  <c r="EQ109" i="2" s="1"/>
  <c r="EV22" i="2"/>
  <c r="EV75" i="2" s="1"/>
  <c r="EN22" i="2"/>
  <c r="EN75" i="2" s="1"/>
  <c r="FM40" i="2"/>
  <c r="FM93" i="2" s="1"/>
  <c r="FC40" i="2"/>
  <c r="FC93" i="2" s="1"/>
  <c r="EW40" i="2"/>
  <c r="EW93" i="2" s="1"/>
  <c r="FM32" i="2"/>
  <c r="EY32" i="2"/>
  <c r="ER32" i="2"/>
  <c r="ER85" i="2" s="1"/>
  <c r="EQ26" i="2"/>
  <c r="EQ79" i="2" s="1"/>
  <c r="EP28" i="2"/>
  <c r="EP81" i="2" s="1"/>
  <c r="EK28" i="2"/>
  <c r="EK81" i="2" s="1"/>
  <c r="EO54" i="2"/>
  <c r="EO107" i="2" s="1"/>
  <c r="FA54" i="2"/>
  <c r="FA107" i="2" s="1"/>
  <c r="ES54" i="2"/>
  <c r="ES107" i="2" s="1"/>
  <c r="EN24" i="2"/>
  <c r="EN77" i="2" s="1"/>
  <c r="FG24" i="2"/>
  <c r="FG77" i="2" s="1"/>
  <c r="EP24" i="2"/>
  <c r="EP77" i="2" s="1"/>
  <c r="ET58" i="2"/>
  <c r="ET111" i="2" s="1"/>
  <c r="ER58" i="2"/>
  <c r="ER111" i="2" s="1"/>
  <c r="FF42" i="2"/>
  <c r="FF95" i="2" s="1"/>
  <c r="FM42" i="2"/>
  <c r="FM95" i="2" s="1"/>
  <c r="EK42" i="2"/>
  <c r="EK95" i="2" s="1"/>
  <c r="EX44" i="2"/>
  <c r="EX97" i="2" s="1"/>
  <c r="FN22" i="2"/>
  <c r="FN75" i="2" s="1"/>
  <c r="EM26" i="2"/>
  <c r="EM79" i="2" s="1"/>
  <c r="FL46" i="2"/>
  <c r="FL99" i="2" s="1"/>
  <c r="FG52" i="2"/>
  <c r="FG105" i="2" s="1"/>
  <c r="EU36" i="2"/>
  <c r="EU89" i="2" s="1"/>
  <c r="FL34" i="2"/>
  <c r="FL87" i="2" s="1"/>
  <c r="FK56" i="2"/>
  <c r="FK109" i="2" s="1"/>
  <c r="EP40" i="2"/>
  <c r="EP93" i="2" s="1"/>
  <c r="FF32" i="2"/>
  <c r="FF85" i="2" s="1"/>
  <c r="EY28" i="2"/>
  <c r="EY81" i="2" s="1"/>
  <c r="FC58" i="2"/>
  <c r="FC111" i="2" s="1"/>
  <c r="EU50" i="2"/>
  <c r="EU103" i="2" s="1"/>
  <c r="EN30" i="2"/>
  <c r="EN83" i="2" s="1"/>
  <c r="ER30" i="2"/>
  <c r="ER83" i="2" s="1"/>
  <c r="EP22" i="2"/>
  <c r="EP75" i="2" s="1"/>
  <c r="FE32" i="2"/>
  <c r="ES28" i="2"/>
  <c r="ES81" i="2" s="1"/>
  <c r="EZ24" i="2"/>
  <c r="EZ77" i="2" s="1"/>
  <c r="FL58" i="2"/>
  <c r="FL111" i="2" s="1"/>
  <c r="FG44" i="2"/>
  <c r="FG97" i="2" s="1"/>
  <c r="FK44" i="2"/>
  <c r="FK97" i="2" s="1"/>
  <c r="EZ46" i="2"/>
  <c r="EZ99" i="2" s="1"/>
  <c r="FI46" i="2"/>
  <c r="FI99" i="2" s="1"/>
  <c r="ER46" i="2"/>
  <c r="ER99" i="2" s="1"/>
  <c r="FE50" i="2"/>
  <c r="FE103" i="2" s="1"/>
  <c r="EZ50" i="2"/>
  <c r="EZ103" i="2" s="1"/>
  <c r="FK52" i="2"/>
  <c r="FK105" i="2" s="1"/>
  <c r="EV52" i="2"/>
  <c r="EV105" i="2" s="1"/>
  <c r="FF36" i="2"/>
  <c r="FF89" i="2" s="1"/>
  <c r="EW36" i="2"/>
  <c r="EW89" i="2" s="1"/>
  <c r="EZ30" i="2"/>
  <c r="EZ83" i="2" s="1"/>
  <c r="FF30" i="2"/>
  <c r="FF83" i="2" s="1"/>
  <c r="FA30" i="2"/>
  <c r="FA83" i="2" s="1"/>
  <c r="EQ34" i="2"/>
  <c r="EQ87" i="2" s="1"/>
  <c r="EY34" i="2"/>
  <c r="EY87" i="2" s="1"/>
  <c r="FN48" i="2"/>
  <c r="FN101" i="2" s="1"/>
  <c r="FI48" i="2"/>
  <c r="FI101" i="2" s="1"/>
  <c r="EV56" i="2"/>
  <c r="EV109" i="2" s="1"/>
  <c r="EO56" i="2"/>
  <c r="EO109" i="2" s="1"/>
  <c r="ER56" i="2"/>
  <c r="ER109" i="2" s="1"/>
  <c r="ET22" i="2"/>
  <c r="ET75" i="2" s="1"/>
  <c r="FK22" i="2"/>
  <c r="FK75" i="2" s="1"/>
  <c r="EN40" i="2"/>
  <c r="EN93" i="2" s="1"/>
  <c r="FA40" i="2"/>
  <c r="FA93" i="2" s="1"/>
  <c r="FG40" i="2"/>
  <c r="FG93" i="2" s="1"/>
  <c r="FK32" i="2"/>
  <c r="FK85" i="2" s="1"/>
  <c r="EX32" i="2"/>
  <c r="FC32" i="2"/>
  <c r="FC85" i="2" s="1"/>
  <c r="FE26" i="2"/>
  <c r="FE79" i="2" s="1"/>
  <c r="FC28" i="2"/>
  <c r="FC81" i="2" s="1"/>
  <c r="FM28" i="2"/>
  <c r="FM81" i="2" s="1"/>
  <c r="EX28" i="2"/>
  <c r="EX81" i="2" s="1"/>
  <c r="EV54" i="2"/>
  <c r="EV107" i="2" s="1"/>
  <c r="FI54" i="2"/>
  <c r="FI107" i="2" s="1"/>
  <c r="FD54" i="2"/>
  <c r="FD107" i="2" s="1"/>
  <c r="FK24" i="2"/>
  <c r="FK77" i="2" s="1"/>
  <c r="EU24" i="2"/>
  <c r="EU77" i="2" s="1"/>
  <c r="FI58" i="2"/>
  <c r="FI111" i="2" s="1"/>
  <c r="EP58" i="2"/>
  <c r="EP111" i="2" s="1"/>
  <c r="FA42" i="2"/>
  <c r="FA95" i="2" s="1"/>
  <c r="EO42" i="2"/>
  <c r="EO95" i="2" s="1"/>
  <c r="FJ42" i="2"/>
  <c r="FJ95" i="2" s="1"/>
  <c r="FD24" i="2"/>
  <c r="FD77" i="2" s="1"/>
  <c r="EY42" i="2"/>
  <c r="EY95" i="2" s="1"/>
  <c r="EP50" i="2"/>
  <c r="EP103" i="2" s="1"/>
  <c r="EY52" i="2"/>
  <c r="EY105" i="2" s="1"/>
  <c r="EQ52" i="2"/>
  <c r="EQ105" i="2" s="1"/>
  <c r="FE34" i="2"/>
  <c r="FE87" i="2" s="1"/>
  <c r="EL48" i="2"/>
  <c r="EL101" i="2" s="1"/>
  <c r="EX40" i="2"/>
  <c r="EX93" i="2" s="1"/>
  <c r="FA24" i="2"/>
  <c r="FA77" i="2" s="1"/>
  <c r="FH58" i="2"/>
  <c r="FH111" i="2" s="1"/>
  <c r="FM50" i="2"/>
  <c r="FM103" i="2" s="1"/>
  <c r="EQ36" i="2"/>
  <c r="EQ89" i="2" s="1"/>
  <c r="EZ34" i="2"/>
  <c r="EZ87" i="2" s="1"/>
  <c r="FA48" i="2"/>
  <c r="FA101" i="2" s="1"/>
  <c r="EQ48" i="2"/>
  <c r="EQ101" i="2" s="1"/>
  <c r="FD22" i="2"/>
  <c r="FD75" i="2" s="1"/>
  <c r="EL22" i="2"/>
  <c r="EL75" i="2" s="1"/>
  <c r="EM30" i="2"/>
  <c r="EM83" i="2" s="1"/>
  <c r="FH44" i="2"/>
  <c r="FH97" i="2" s="1"/>
  <c r="FE44" i="2"/>
  <c r="FE97" i="2" s="1"/>
  <c r="EY44" i="2"/>
  <c r="EY97" i="2" s="1"/>
  <c r="EY46" i="2"/>
  <c r="EY99" i="2" s="1"/>
  <c r="FM46" i="2"/>
  <c r="FM99" i="2" s="1"/>
  <c r="EY50" i="2"/>
  <c r="EY103" i="2" s="1"/>
  <c r="FD50" i="2"/>
  <c r="FD103" i="2" s="1"/>
  <c r="EN50" i="2"/>
  <c r="EN103" i="2" s="1"/>
  <c r="FJ52" i="2"/>
  <c r="FJ105" i="2" s="1"/>
  <c r="FF52" i="2"/>
  <c r="FF105" i="2" s="1"/>
  <c r="FM36" i="2"/>
  <c r="FM89" i="2" s="1"/>
  <c r="FB36" i="2"/>
  <c r="FB89" i="2" s="1"/>
  <c r="EK36" i="2"/>
  <c r="EK89" i="2" s="1"/>
  <c r="EY30" i="2"/>
  <c r="EY83" i="2" s="1"/>
  <c r="ET30" i="2"/>
  <c r="ET83" i="2" s="1"/>
  <c r="EO30" i="2"/>
  <c r="EO83" i="2" s="1"/>
  <c r="FN34" i="2"/>
  <c r="FN87" i="2" s="1"/>
  <c r="FI34" i="2"/>
  <c r="FI87" i="2" s="1"/>
  <c r="FL48" i="2"/>
  <c r="FL101" i="2" s="1"/>
  <c r="FC48" i="2"/>
  <c r="FC101" i="2" s="1"/>
  <c r="FG48" i="2"/>
  <c r="FG101" i="2" s="1"/>
  <c r="EZ56" i="2"/>
  <c r="EZ109" i="2" s="1"/>
  <c r="EN56" i="2"/>
  <c r="EN109" i="2" s="1"/>
  <c r="FN56" i="2"/>
  <c r="FN109" i="2" s="1"/>
  <c r="ES22" i="2"/>
  <c r="ES75" i="2" s="1"/>
  <c r="EY22" i="2"/>
  <c r="EY75" i="2" s="1"/>
  <c r="FN40" i="2"/>
  <c r="FN93" i="2" s="1"/>
  <c r="EZ40" i="2"/>
  <c r="EZ93" i="2" s="1"/>
  <c r="EU40" i="2"/>
  <c r="EU93" i="2" s="1"/>
  <c r="FI32" i="2"/>
  <c r="FI85" i="2" s="1"/>
  <c r="EW32" i="2"/>
  <c r="EQ32" i="2"/>
  <c r="EQ85" i="2" s="1"/>
  <c r="FD26" i="2"/>
  <c r="FD79" i="2" s="1"/>
  <c r="FJ26" i="2"/>
  <c r="FJ79" i="2" s="1"/>
  <c r="FA28" i="2"/>
  <c r="FA81" i="2" s="1"/>
  <c r="EO28" i="2"/>
  <c r="EO81" i="2" s="1"/>
  <c r="FH28" i="2"/>
  <c r="FH81" i="2" s="1"/>
  <c r="EX54" i="2"/>
  <c r="EX107" i="2" s="1"/>
  <c r="FN54" i="2"/>
  <c r="FN107" i="2" s="1"/>
  <c r="FF24" i="2"/>
  <c r="FF77" i="2" s="1"/>
  <c r="ES58" i="2"/>
  <c r="ES111" i="2" s="1"/>
  <c r="FB58" i="2"/>
  <c r="FB111" i="2" s="1"/>
  <c r="EQ58" i="2"/>
  <c r="EQ111" i="2" s="1"/>
  <c r="FE42" i="2"/>
  <c r="FE95" i="2" s="1"/>
  <c r="FL42" i="2"/>
  <c r="FL95" i="2" s="1"/>
  <c r="FH42" i="2"/>
  <c r="FH95" i="2" s="1"/>
  <c r="EM32" i="2"/>
  <c r="EV44" i="2"/>
  <c r="EV97" i="2" s="1"/>
  <c r="FC44" i="2"/>
  <c r="FC97" i="2" s="1"/>
  <c r="FG46" i="2"/>
  <c r="FG99" i="2" s="1"/>
  <c r="FH46" i="2"/>
  <c r="FH99" i="2" s="1"/>
  <c r="FA46" i="2"/>
  <c r="FA99" i="2" s="1"/>
  <c r="ER50" i="2"/>
  <c r="ER103" i="2" s="1"/>
  <c r="ET52" i="2"/>
  <c r="ET105" i="2" s="1"/>
  <c r="ET36" i="2"/>
  <c r="ET89" i="2" s="1"/>
  <c r="FA36" i="2"/>
  <c r="FA89" i="2" s="1"/>
  <c r="FJ30" i="2"/>
  <c r="FJ83" i="2" s="1"/>
  <c r="FE30" i="2"/>
  <c r="FE83" i="2" s="1"/>
  <c r="FG34" i="2"/>
  <c r="FG87" i="2" s="1"/>
  <c r="EP34" i="2"/>
  <c r="EP87" i="2" s="1"/>
  <c r="EW34" i="2"/>
  <c r="EW87" i="2" s="1"/>
  <c r="FK48" i="2"/>
  <c r="FK101" i="2" s="1"/>
  <c r="FD48" i="2"/>
  <c r="FD101" i="2" s="1"/>
  <c r="EU48" i="2"/>
  <c r="EU101" i="2" s="1"/>
  <c r="EW56" i="2"/>
  <c r="EW109" i="2" s="1"/>
  <c r="FH56" i="2"/>
  <c r="FH109" i="2" s="1"/>
  <c r="FB56" i="2"/>
  <c r="FB109" i="2" s="1"/>
  <c r="EU22" i="2"/>
  <c r="EU75" i="2" s="1"/>
  <c r="FI40" i="2"/>
  <c r="FI93" i="2" s="1"/>
  <c r="EQ40" i="2"/>
  <c r="EQ93" i="2" s="1"/>
  <c r="FK40" i="2"/>
  <c r="FK93" i="2" s="1"/>
  <c r="EP32" i="2"/>
  <c r="FH32" i="2"/>
  <c r="FG26" i="2"/>
  <c r="FG79" i="2" s="1"/>
  <c r="EX26" i="2"/>
  <c r="EX79" i="2" s="1"/>
  <c r="FF28" i="2"/>
  <c r="FF81" i="2" s="1"/>
  <c r="FL28" i="2"/>
  <c r="FL81" i="2" s="1"/>
  <c r="EV28" i="2"/>
  <c r="EV81" i="2" s="1"/>
  <c r="FL54" i="2"/>
  <c r="FL107" i="2" s="1"/>
  <c r="EK54" i="2"/>
  <c r="EK107" i="2" s="1"/>
  <c r="FB54" i="2"/>
  <c r="FB107" i="2" s="1"/>
  <c r="FJ24" i="2"/>
  <c r="FJ77" i="2" s="1"/>
  <c r="ET24" i="2"/>
  <c r="ET77" i="2" s="1"/>
  <c r="EV58" i="2"/>
  <c r="EV111" i="2" s="1"/>
  <c r="FD42" i="2"/>
  <c r="FD95" i="2" s="1"/>
  <c r="EZ42" i="2"/>
  <c r="EZ95" i="2" s="1"/>
  <c r="EV42" i="2"/>
  <c r="EV95" i="2" s="1"/>
  <c r="EM24" i="2"/>
  <c r="EM77" i="2" s="1"/>
  <c r="EM40" i="2"/>
  <c r="EM93" i="2" s="1"/>
  <c r="EU44" i="2"/>
  <c r="EU97" i="2" s="1"/>
  <c r="EW44" i="2"/>
  <c r="EW97" i="2" s="1"/>
  <c r="EO44" i="2"/>
  <c r="EO97" i="2" s="1"/>
  <c r="EK46" i="2"/>
  <c r="EK99" i="2" s="1"/>
  <c r="EO46" i="2"/>
  <c r="EO99" i="2" s="1"/>
  <c r="EV50" i="2"/>
  <c r="EV103" i="2" s="1"/>
  <c r="FB50" i="2"/>
  <c r="FB103" i="2" s="1"/>
  <c r="FE52" i="2"/>
  <c r="FE105" i="2" s="1"/>
  <c r="ES36" i="2"/>
  <c r="ES89" i="2" s="1"/>
  <c r="FL36" i="2"/>
  <c r="FL89" i="2" s="1"/>
  <c r="FH36" i="2"/>
  <c r="FH89" i="2" s="1"/>
  <c r="ES30" i="2"/>
  <c r="ES83" i="2" s="1"/>
  <c r="FD34" i="2"/>
  <c r="FD87" i="2" s="1"/>
  <c r="FM34" i="2"/>
  <c r="FM87" i="2" s="1"/>
  <c r="EK34" i="2"/>
  <c r="EK87" i="2" s="1"/>
  <c r="FE48" i="2"/>
  <c r="FE101" i="2" s="1"/>
  <c r="EZ48" i="2"/>
  <c r="EZ101" i="2" s="1"/>
  <c r="FF48" i="2"/>
  <c r="FF101" i="2" s="1"/>
  <c r="EX56" i="2"/>
  <c r="EX109" i="2" s="1"/>
  <c r="FG56" i="2"/>
  <c r="FG109" i="2" s="1"/>
  <c r="EP56" i="2"/>
  <c r="EP109" i="2" s="1"/>
  <c r="ER22" i="2"/>
  <c r="ER75" i="2" s="1"/>
  <c r="EZ22" i="2"/>
  <c r="EZ75" i="2" s="1"/>
  <c r="FL40" i="2"/>
  <c r="FL93" i="2" s="1"/>
  <c r="EY40" i="2"/>
  <c r="EY93" i="2" s="1"/>
  <c r="FF40" i="2"/>
  <c r="FF93" i="2" s="1"/>
  <c r="EV32" i="2"/>
  <c r="EV85" i="2" s="1"/>
  <c r="EL54" i="2"/>
  <c r="EL107" i="2" s="1"/>
  <c r="FF26" i="2"/>
  <c r="FF79" i="2" s="1"/>
  <c r="FE28" i="2"/>
  <c r="FE81" i="2" s="1"/>
  <c r="EZ28" i="2"/>
  <c r="EZ81" i="2" s="1"/>
  <c r="FJ28" i="2"/>
  <c r="FJ81" i="2" s="1"/>
  <c r="FJ54" i="2"/>
  <c r="FJ107" i="2" s="1"/>
  <c r="EZ54" i="2"/>
  <c r="EZ107" i="2" s="1"/>
  <c r="EP54" i="2"/>
  <c r="EP107" i="2" s="1"/>
  <c r="FE24" i="2"/>
  <c r="FE77" i="2" s="1"/>
  <c r="FK58" i="2"/>
  <c r="FK111" i="2" s="1"/>
  <c r="FM58" i="2"/>
  <c r="FM111" i="2" s="1"/>
  <c r="FC42" i="2"/>
  <c r="FC95" i="2" s="1"/>
  <c r="EN42" i="2"/>
  <c r="EN95" i="2" s="1"/>
  <c r="FG42" i="2"/>
  <c r="FG95" i="2" s="1"/>
  <c r="DM53" i="2"/>
  <c r="DM55" i="2"/>
  <c r="ET44" i="2"/>
  <c r="ET97" i="2" s="1"/>
  <c r="FN44" i="2"/>
  <c r="FN97" i="2" s="1"/>
  <c r="FJ44" i="2"/>
  <c r="FJ97" i="2" s="1"/>
  <c r="EW46" i="2"/>
  <c r="EW99" i="2" s="1"/>
  <c r="FE46" i="2"/>
  <c r="FE99" i="2" s="1"/>
  <c r="FJ50" i="2"/>
  <c r="FJ103" i="2" s="1"/>
  <c r="FC50" i="2"/>
  <c r="FC103" i="2" s="1"/>
  <c r="FI52" i="2"/>
  <c r="FI105" i="2" s="1"/>
  <c r="ER52" i="2"/>
  <c r="ER105" i="2" s="1"/>
  <c r="ER36" i="2"/>
  <c r="ER89" i="2" s="1"/>
  <c r="EZ36" i="2"/>
  <c r="EZ89" i="2" s="1"/>
  <c r="EV36" i="2"/>
  <c r="EV89" i="2" s="1"/>
  <c r="FI30" i="2"/>
  <c r="FI83" i="2" s="1"/>
  <c r="FD30" i="2"/>
  <c r="FD83" i="2" s="1"/>
  <c r="FB34" i="2"/>
  <c r="FB87" i="2" s="1"/>
  <c r="FA34" i="2"/>
  <c r="FA87" i="2" s="1"/>
  <c r="FK34" i="2"/>
  <c r="FK87" i="2" s="1"/>
  <c r="EN48" i="2"/>
  <c r="EN101" i="2" s="1"/>
  <c r="EY48" i="2"/>
  <c r="EY101" i="2" s="1"/>
  <c r="ET48" i="2"/>
  <c r="ET101" i="2" s="1"/>
  <c r="FA56" i="2"/>
  <c r="FA109" i="2" s="1"/>
  <c r="EK56" i="2"/>
  <c r="EK109" i="2" s="1"/>
  <c r="EQ22" i="2"/>
  <c r="EQ75" i="2" s="1"/>
  <c r="FJ22" i="2"/>
  <c r="FJ75" i="2" s="1"/>
  <c r="ES40" i="2"/>
  <c r="ES93" i="2" s="1"/>
  <c r="ET40" i="2"/>
  <c r="ET93" i="2" s="1"/>
  <c r="EN32" i="2"/>
  <c r="EN85" i="2" s="1"/>
  <c r="FG32" i="2"/>
  <c r="FG85" i="2" s="1"/>
  <c r="FC26" i="2"/>
  <c r="FC79" i="2" s="1"/>
  <c r="EY26" i="2"/>
  <c r="EY79" i="2" s="1"/>
  <c r="FD28" i="2"/>
  <c r="FD81" i="2" s="1"/>
  <c r="EN28" i="2"/>
  <c r="EN81" i="2" s="1"/>
  <c r="FG28" i="2"/>
  <c r="FG81" i="2" s="1"/>
  <c r="EY54" i="2"/>
  <c r="EY107" i="2" s="1"/>
  <c r="EV24" i="2"/>
  <c r="EV77" i="2" s="1"/>
  <c r="ES24" i="2"/>
  <c r="ES77" i="2" s="1"/>
  <c r="FF58" i="2"/>
  <c r="FF111" i="2" s="1"/>
  <c r="EU58" i="2"/>
  <c r="EU111" i="2" s="1"/>
  <c r="FA58" i="2"/>
  <c r="FA111" i="2" s="1"/>
  <c r="FB42" i="2"/>
  <c r="FB95" i="2" s="1"/>
  <c r="FK42" i="2"/>
  <c r="FK95" i="2" s="1"/>
  <c r="EU42" i="2"/>
  <c r="EU95" i="2" s="1"/>
  <c r="ES20" i="2"/>
  <c r="ES73" i="2" s="1"/>
  <c r="FE20" i="2"/>
  <c r="FE73" i="2" s="1"/>
  <c r="EZ20" i="2"/>
  <c r="EZ73" i="2" s="1"/>
  <c r="FK20" i="2"/>
  <c r="FK73" i="2" s="1"/>
  <c r="EQ20" i="2"/>
  <c r="EQ73" i="2" s="1"/>
  <c r="FJ20" i="2"/>
  <c r="FJ73" i="2" s="1"/>
  <c r="EX20" i="2"/>
  <c r="EX73" i="2" s="1"/>
  <c r="FM20" i="2"/>
  <c r="FM73" i="2" s="1"/>
  <c r="FN20" i="2"/>
  <c r="FN73" i="2" s="1"/>
  <c r="FL20" i="2"/>
  <c r="FL73" i="2" s="1"/>
  <c r="FI20" i="2"/>
  <c r="FI73" i="2" s="1"/>
  <c r="EO20" i="2"/>
  <c r="EO73" i="2" s="1"/>
  <c r="FH20" i="2"/>
  <c r="FH73" i="2" s="1"/>
  <c r="EY20" i="2"/>
  <c r="EY73" i="2" s="1"/>
  <c r="FG20" i="2"/>
  <c r="FG73" i="2" s="1"/>
  <c r="ET20" i="2"/>
  <c r="ET73" i="2" s="1"/>
  <c r="EW20" i="2"/>
  <c r="EW73" i="2" s="1"/>
  <c r="FD20" i="2"/>
  <c r="FD73" i="2" s="1"/>
  <c r="EL20" i="2"/>
  <c r="EL73" i="2" s="1"/>
  <c r="EN20" i="2"/>
  <c r="EN73" i="2" s="1"/>
  <c r="FB20" i="2"/>
  <c r="FB73" i="2" s="1"/>
  <c r="EP20" i="2"/>
  <c r="EP73" i="2" s="1"/>
  <c r="EV20" i="2"/>
  <c r="EV73" i="2" s="1"/>
  <c r="FC20" i="2"/>
  <c r="FC73" i="2" s="1"/>
  <c r="EU20" i="2"/>
  <c r="EU73" i="2" s="1"/>
  <c r="EM20" i="2"/>
  <c r="EM73" i="2" s="1"/>
  <c r="ER20" i="2"/>
  <c r="ER73" i="2" s="1"/>
  <c r="FA20" i="2"/>
  <c r="FA73" i="2" s="1"/>
  <c r="FF20" i="2"/>
  <c r="FF73" i="2" s="1"/>
  <c r="E27" i="3"/>
  <c r="DM43" i="2"/>
  <c r="E23" i="3"/>
  <c r="DM33" i="2"/>
  <c r="E22" i="3"/>
  <c r="DM27" i="2"/>
  <c r="E20" i="3"/>
  <c r="E26" i="3"/>
  <c r="E18" i="3"/>
  <c r="DM19" i="2"/>
  <c r="E16" i="3"/>
  <c r="DM39" i="2"/>
  <c r="E24" i="3"/>
  <c r="E21" i="3"/>
  <c r="DM31" i="2"/>
  <c r="DM35" i="2"/>
  <c r="DM21" i="2"/>
  <c r="DM25" i="2"/>
  <c r="HM23" i="2"/>
  <c r="HM21" i="2"/>
  <c r="HM51" i="2"/>
  <c r="HL51" i="2"/>
  <c r="HL49" i="2"/>
  <c r="HM49" i="2"/>
  <c r="HM25" i="2"/>
  <c r="HL43" i="2"/>
  <c r="HM43" i="2"/>
  <c r="HL39" i="2"/>
  <c r="HM39" i="2"/>
  <c r="HL53" i="2"/>
  <c r="HM53" i="2"/>
  <c r="HL41" i="2"/>
  <c r="HM41" i="2"/>
  <c r="HM57" i="2"/>
  <c r="HL57" i="2"/>
  <c r="HL45" i="2"/>
  <c r="HM45" i="2"/>
  <c r="HL47" i="2"/>
  <c r="HM47" i="2"/>
  <c r="HM55" i="2"/>
  <c r="HL55" i="2"/>
  <c r="HL35" i="2"/>
  <c r="HN35" i="2" s="1"/>
  <c r="HM35" i="2"/>
  <c r="HL33" i="2"/>
  <c r="HN33" i="2" s="1"/>
  <c r="HM33" i="2"/>
  <c r="FD85" i="2"/>
  <c r="FH85" i="2"/>
  <c r="HL31" i="2"/>
  <c r="HN31" i="2" s="1"/>
  <c r="HM31" i="2"/>
  <c r="FB85" i="2"/>
  <c r="FM85" i="2"/>
  <c r="FN85" i="2"/>
  <c r="FE85" i="2"/>
  <c r="HL29" i="2"/>
  <c r="HN29" i="2" s="1"/>
  <c r="HM29" i="2"/>
  <c r="HL27" i="2"/>
  <c r="HM27" i="2"/>
  <c r="HM19" i="2"/>
  <c r="AK28" i="2"/>
  <c r="AG28" i="2"/>
  <c r="AC28" i="2"/>
  <c r="Y28" i="2"/>
  <c r="U28" i="2"/>
  <c r="AI28" i="2"/>
  <c r="S28" i="2"/>
  <c r="AJ28" i="2"/>
  <c r="AF28" i="2"/>
  <c r="AB28" i="2"/>
  <c r="X28" i="2"/>
  <c r="T28" i="2"/>
  <c r="P28" i="2"/>
  <c r="AM28" i="2"/>
  <c r="AL28" i="2"/>
  <c r="AH28" i="2"/>
  <c r="AD28" i="2"/>
  <c r="Z28" i="2"/>
  <c r="V28" i="2"/>
  <c r="R28" i="2"/>
  <c r="AE28" i="2"/>
  <c r="AA28" i="2"/>
  <c r="W28" i="2"/>
  <c r="BU3" i="1"/>
  <c r="AD58" i="2"/>
  <c r="AO58" i="2"/>
  <c r="S35" i="3" s="1"/>
  <c r="AO52" i="2"/>
  <c r="AB48" i="2"/>
  <c r="AO48" i="2"/>
  <c r="AD36" i="2"/>
  <c r="AE56" i="2"/>
  <c r="AO56" i="2"/>
  <c r="S34" i="3" s="1"/>
  <c r="AJ42" i="2"/>
  <c r="AH40" i="2"/>
  <c r="AK54" i="2"/>
  <c r="AO54" i="2"/>
  <c r="S33" i="3" s="1"/>
  <c r="AA44" i="2"/>
  <c r="J50" i="2"/>
  <c r="AO50" i="2"/>
  <c r="Z32" i="2"/>
  <c r="AK46" i="2"/>
  <c r="AB34" i="2"/>
  <c r="BW43" i="2"/>
  <c r="CD43" i="2"/>
  <c r="CJ43" i="2"/>
  <c r="BX43" i="2"/>
  <c r="CE43" i="2"/>
  <c r="CL43" i="2"/>
  <c r="BT43" i="2"/>
  <c r="CI43" i="2"/>
  <c r="CB43" i="2"/>
  <c r="BS43" i="2"/>
  <c r="BZ43" i="2"/>
  <c r="CH43" i="2"/>
  <c r="CC43" i="2"/>
  <c r="BV43" i="2"/>
  <c r="CG43" i="2"/>
  <c r="BU43" i="2"/>
  <c r="CK43" i="2"/>
  <c r="CF43" i="2"/>
  <c r="BY43" i="2"/>
  <c r="CA43" i="2"/>
  <c r="BV45" i="2"/>
  <c r="CA45" i="2"/>
  <c r="CF45" i="2"/>
  <c r="CL45" i="2"/>
  <c r="BW45" i="2"/>
  <c r="CB45" i="2"/>
  <c r="CH45" i="2"/>
  <c r="BZ45" i="2"/>
  <c r="CJ45" i="2"/>
  <c r="BT45" i="2"/>
  <c r="CE45" i="2"/>
  <c r="BX45" i="2"/>
  <c r="BS45" i="2"/>
  <c r="CD45" i="2"/>
  <c r="CI45" i="2"/>
  <c r="CG45" i="2"/>
  <c r="BU45" i="2"/>
  <c r="CK45" i="2"/>
  <c r="BY45" i="2"/>
  <c r="CC45" i="2"/>
  <c r="BS39" i="2"/>
  <c r="CB39" i="2"/>
  <c r="BV39" i="2"/>
  <c r="CF39" i="2"/>
  <c r="CA39" i="2"/>
  <c r="CL39" i="2"/>
  <c r="BW39" i="2"/>
  <c r="CH39" i="2"/>
  <c r="CE39" i="2"/>
  <c r="CC39" i="2"/>
  <c r="BZ39" i="2"/>
  <c r="CI39" i="2"/>
  <c r="CG39" i="2"/>
  <c r="BT39" i="2"/>
  <c r="CD39" i="2"/>
  <c r="BU39" i="2"/>
  <c r="CK39" i="2"/>
  <c r="CJ39" i="2"/>
  <c r="BX39" i="2"/>
  <c r="BY39" i="2"/>
  <c r="BS47" i="2"/>
  <c r="CB47" i="2"/>
  <c r="BV47" i="2"/>
  <c r="CF47" i="2"/>
  <c r="CL47" i="2"/>
  <c r="CA47" i="2"/>
  <c r="BW47" i="2"/>
  <c r="CH47" i="2"/>
  <c r="BZ47" i="2"/>
  <c r="BX47" i="2"/>
  <c r="CG47" i="2"/>
  <c r="BT47" i="2"/>
  <c r="BU47" i="2"/>
  <c r="CK47" i="2"/>
  <c r="CJ47" i="2"/>
  <c r="CI47" i="2"/>
  <c r="BY47" i="2"/>
  <c r="CE47" i="2"/>
  <c r="CD47" i="2"/>
  <c r="CC47" i="2"/>
  <c r="BS55" i="2"/>
  <c r="BZ55" i="2"/>
  <c r="CH55" i="2"/>
  <c r="BU55" i="2"/>
  <c r="CC55" i="2"/>
  <c r="CK55" i="2"/>
  <c r="BY55" i="2"/>
  <c r="CD55" i="2"/>
  <c r="CG55" i="2"/>
  <c r="BV55" i="2"/>
  <c r="CL55" i="2"/>
  <c r="BX55" i="2"/>
  <c r="BW55" i="2"/>
  <c r="CJ55" i="2"/>
  <c r="BT55" i="2"/>
  <c r="CI55" i="2"/>
  <c r="CF55" i="2"/>
  <c r="CE55" i="2"/>
  <c r="CB55" i="2"/>
  <c r="CA55" i="2"/>
  <c r="BS29" i="2"/>
  <c r="BV29" i="2"/>
  <c r="CB29" i="2"/>
  <c r="CJ29" i="2"/>
  <c r="BW29" i="2"/>
  <c r="CE29" i="2"/>
  <c r="CL29" i="2"/>
  <c r="BT29" i="2"/>
  <c r="CH29" i="2"/>
  <c r="CA29" i="2"/>
  <c r="CF29" i="2"/>
  <c r="BZ29" i="2"/>
  <c r="CI29" i="2"/>
  <c r="BU29" i="2"/>
  <c r="CK29" i="2"/>
  <c r="CD29" i="2"/>
  <c r="BY29" i="2"/>
  <c r="BX29" i="2"/>
  <c r="CC29" i="2"/>
  <c r="CG29" i="2"/>
  <c r="BS21" i="2"/>
  <c r="CB21" i="2"/>
  <c r="BT21" i="2"/>
  <c r="CE21" i="2"/>
  <c r="BW21" i="2"/>
  <c r="BZ21" i="2"/>
  <c r="CJ21" i="2"/>
  <c r="CH21" i="2"/>
  <c r="CD21" i="2"/>
  <c r="BU21" i="2"/>
  <c r="CK21" i="2"/>
  <c r="BV21" i="2"/>
  <c r="BX21" i="2"/>
  <c r="BY21" i="2"/>
  <c r="CL21" i="2"/>
  <c r="CC21" i="2"/>
  <c r="CF21" i="2"/>
  <c r="CI21" i="2"/>
  <c r="CG21" i="2"/>
  <c r="CA21" i="2"/>
  <c r="BT35" i="2"/>
  <c r="CB35" i="2"/>
  <c r="CI35" i="2"/>
  <c r="BW35" i="2"/>
  <c r="CD35" i="2"/>
  <c r="CJ35" i="2"/>
  <c r="BZ35" i="2"/>
  <c r="BS35" i="2"/>
  <c r="CH35" i="2"/>
  <c r="BX35" i="2"/>
  <c r="CE35" i="2"/>
  <c r="BY35" i="2"/>
  <c r="BV35" i="2"/>
  <c r="CC35" i="2"/>
  <c r="CL35" i="2"/>
  <c r="CG35" i="2"/>
  <c r="CF35" i="2"/>
  <c r="BU35" i="2"/>
  <c r="CK35" i="2"/>
  <c r="CA35" i="2"/>
  <c r="CB33" i="2"/>
  <c r="CH33" i="2"/>
  <c r="BY33" i="2"/>
  <c r="CL33" i="2"/>
  <c r="BW33" i="2"/>
  <c r="BT33" i="2"/>
  <c r="CD33" i="2"/>
  <c r="CC33" i="2"/>
  <c r="CF33" i="2"/>
  <c r="CJ33" i="2"/>
  <c r="BX33" i="2"/>
  <c r="CG33" i="2"/>
  <c r="CA33" i="2"/>
  <c r="CE33" i="2"/>
  <c r="BS33" i="2"/>
  <c r="BU33" i="2"/>
  <c r="CK33" i="2"/>
  <c r="BV33" i="2"/>
  <c r="BZ33" i="2"/>
  <c r="CI33" i="2"/>
  <c r="BT51" i="2"/>
  <c r="CB51" i="2"/>
  <c r="CI51" i="2"/>
  <c r="BW51" i="2"/>
  <c r="CD51" i="2"/>
  <c r="CJ51" i="2"/>
  <c r="BZ51" i="2"/>
  <c r="BS51" i="2"/>
  <c r="CH51" i="2"/>
  <c r="CE51" i="2"/>
  <c r="BX51" i="2"/>
  <c r="CC51" i="2"/>
  <c r="CA51" i="2"/>
  <c r="CG51" i="2"/>
  <c r="BV51" i="2"/>
  <c r="BU51" i="2"/>
  <c r="CK51" i="2"/>
  <c r="CL51" i="2"/>
  <c r="BY51" i="2"/>
  <c r="CF51" i="2"/>
  <c r="BS23" i="2"/>
  <c r="BV23" i="2"/>
  <c r="CF23" i="2"/>
  <c r="BW23" i="2"/>
  <c r="CH23" i="2"/>
  <c r="CA23" i="2"/>
  <c r="CB23" i="2"/>
  <c r="CL23" i="2"/>
  <c r="CE23" i="2"/>
  <c r="BU23" i="2"/>
  <c r="CK23" i="2"/>
  <c r="BZ23" i="2"/>
  <c r="CI23" i="2"/>
  <c r="BY23" i="2"/>
  <c r="BT23" i="2"/>
  <c r="CD23" i="2"/>
  <c r="CC23" i="2"/>
  <c r="CJ23" i="2"/>
  <c r="BX23" i="2"/>
  <c r="CG23" i="2"/>
  <c r="BS57" i="2"/>
  <c r="BV57" i="2"/>
  <c r="CD57" i="2"/>
  <c r="CL57" i="2"/>
  <c r="BY57" i="2"/>
  <c r="CG57" i="2"/>
  <c r="BU57" i="2"/>
  <c r="CK57" i="2"/>
  <c r="BZ57" i="2"/>
  <c r="CC57" i="2"/>
  <c r="CH57" i="2"/>
  <c r="CJ57" i="2"/>
  <c r="BT57" i="2"/>
  <c r="BW57" i="2"/>
  <c r="CF57" i="2"/>
  <c r="CI57" i="2"/>
  <c r="CB57" i="2"/>
  <c r="CE57" i="2"/>
  <c r="BX57" i="2"/>
  <c r="CA57" i="2"/>
  <c r="BV53" i="2"/>
  <c r="CA53" i="2"/>
  <c r="CF53" i="2"/>
  <c r="CL53" i="2"/>
  <c r="BW53" i="2"/>
  <c r="CB53" i="2"/>
  <c r="CH53" i="2"/>
  <c r="BT53" i="2"/>
  <c r="CE53" i="2"/>
  <c r="BZ53" i="2"/>
  <c r="CJ53" i="2"/>
  <c r="CD53" i="2"/>
  <c r="BX53" i="2"/>
  <c r="CI53" i="2"/>
  <c r="BS53" i="2"/>
  <c r="CG53" i="2"/>
  <c r="BU53" i="2"/>
  <c r="CK53" i="2"/>
  <c r="BY53" i="2"/>
  <c r="CC53" i="2"/>
  <c r="BS31" i="2"/>
  <c r="CA31" i="2"/>
  <c r="CL31" i="2"/>
  <c r="CB31" i="2"/>
  <c r="CH31" i="2"/>
  <c r="BW31" i="2"/>
  <c r="CF31" i="2"/>
  <c r="BV31" i="2"/>
  <c r="CJ31" i="2"/>
  <c r="BY31" i="2"/>
  <c r="CE31" i="2"/>
  <c r="CI31" i="2"/>
  <c r="CC31" i="2"/>
  <c r="BZ31" i="2"/>
  <c r="CD31" i="2"/>
  <c r="CG31" i="2"/>
  <c r="BT31" i="2"/>
  <c r="BX31" i="2"/>
  <c r="BU31" i="2"/>
  <c r="CK31" i="2"/>
  <c r="CB41" i="2"/>
  <c r="CH41" i="2"/>
  <c r="CC41" i="2"/>
  <c r="CF41" i="2"/>
  <c r="BT41" i="2"/>
  <c r="BX41" i="2"/>
  <c r="CG41" i="2"/>
  <c r="CA41" i="2"/>
  <c r="CJ41" i="2"/>
  <c r="BS41" i="2"/>
  <c r="BU41" i="2"/>
  <c r="CK41" i="2"/>
  <c r="BV41" i="2"/>
  <c r="CE41" i="2"/>
  <c r="CI41" i="2"/>
  <c r="BY41" i="2"/>
  <c r="CL41" i="2"/>
  <c r="BW41" i="2"/>
  <c r="BZ41" i="2"/>
  <c r="CD41" i="2"/>
  <c r="BV49" i="2"/>
  <c r="BW49" i="2"/>
  <c r="CB49" i="2"/>
  <c r="CH49" i="2"/>
  <c r="CF49" i="2"/>
  <c r="CC49" i="2"/>
  <c r="BZ49" i="2"/>
  <c r="BS49" i="2"/>
  <c r="CA49" i="2"/>
  <c r="CG49" i="2"/>
  <c r="BT49" i="2"/>
  <c r="CI49" i="2"/>
  <c r="BU49" i="2"/>
  <c r="CK49" i="2"/>
  <c r="CJ49" i="2"/>
  <c r="CD49" i="2"/>
  <c r="CL49" i="2"/>
  <c r="BY49" i="2"/>
  <c r="CE49" i="2"/>
  <c r="BX49" i="2"/>
  <c r="BS27" i="2"/>
  <c r="BX27" i="2"/>
  <c r="CD27" i="2"/>
  <c r="CI27" i="2"/>
  <c r="CH27" i="2"/>
  <c r="BT27" i="2"/>
  <c r="BZ27" i="2"/>
  <c r="CE27" i="2"/>
  <c r="CJ27" i="2"/>
  <c r="BW27" i="2"/>
  <c r="CB27" i="2"/>
  <c r="BV27" i="2"/>
  <c r="CA27" i="2"/>
  <c r="CF27" i="2"/>
  <c r="CL27" i="2"/>
  <c r="CG27" i="2"/>
  <c r="BU27" i="2"/>
  <c r="CK27" i="2"/>
  <c r="BY27" i="2"/>
  <c r="CC27" i="2"/>
  <c r="BV25" i="2"/>
  <c r="CB25" i="2"/>
  <c r="CH25" i="2"/>
  <c r="CF25" i="2"/>
  <c r="BU25" i="2"/>
  <c r="CK25" i="2"/>
  <c r="BT25" i="2"/>
  <c r="CI25" i="2"/>
  <c r="CA25" i="2"/>
  <c r="BY25" i="2"/>
  <c r="CJ25" i="2"/>
  <c r="CD25" i="2"/>
  <c r="CG25" i="2"/>
  <c r="BS25" i="2"/>
  <c r="BW25" i="2"/>
  <c r="CC25" i="2"/>
  <c r="CE25" i="2"/>
  <c r="BX25" i="2"/>
  <c r="CL25" i="2"/>
  <c r="BZ25" i="2"/>
  <c r="GZ27" i="2"/>
  <c r="GY27" i="2"/>
  <c r="GW27" i="2"/>
  <c r="HB27" i="2"/>
  <c r="GX27" i="2"/>
  <c r="HA27" i="2"/>
  <c r="GX25" i="2"/>
  <c r="HB25" i="2"/>
  <c r="GZ25" i="2"/>
  <c r="GW25" i="2"/>
  <c r="GY25" i="2"/>
  <c r="HA25" i="2"/>
  <c r="GY53" i="2"/>
  <c r="GW53" i="2"/>
  <c r="HA53" i="2"/>
  <c r="GX53" i="2"/>
  <c r="HB53" i="2"/>
  <c r="GZ53" i="2"/>
  <c r="GW47" i="2"/>
  <c r="HA47" i="2"/>
  <c r="GY47" i="2"/>
  <c r="GZ47" i="2"/>
  <c r="GX47" i="2"/>
  <c r="HB47" i="2"/>
  <c r="GY57" i="2"/>
  <c r="GW57" i="2"/>
  <c r="HA57" i="2"/>
  <c r="GX57" i="2"/>
  <c r="HB57" i="2"/>
  <c r="GZ57" i="2"/>
  <c r="GX19" i="2"/>
  <c r="HB19" i="2"/>
  <c r="GZ19" i="2"/>
  <c r="HA19" i="2"/>
  <c r="GY19" i="2"/>
  <c r="GW19" i="2"/>
  <c r="GZ35" i="2"/>
  <c r="GW35" i="2"/>
  <c r="HB35" i="2"/>
  <c r="GY35" i="2"/>
  <c r="HA35" i="2"/>
  <c r="GX35" i="2"/>
  <c r="GX39" i="2"/>
  <c r="HA39" i="2"/>
  <c r="GY39" i="2"/>
  <c r="GZ39" i="2"/>
  <c r="GW39" i="2"/>
  <c r="HB39" i="2"/>
  <c r="GW55" i="2"/>
  <c r="HA55" i="2"/>
  <c r="GY55" i="2"/>
  <c r="GZ55" i="2"/>
  <c r="GX55" i="2"/>
  <c r="HB55" i="2"/>
  <c r="GY49" i="2"/>
  <c r="GW49" i="2"/>
  <c r="HA49" i="2"/>
  <c r="GX49" i="2"/>
  <c r="HB49" i="2"/>
  <c r="GZ49" i="2"/>
  <c r="GX29" i="2"/>
  <c r="HB29" i="2"/>
  <c r="GY29" i="2"/>
  <c r="HA29" i="2"/>
  <c r="GW29" i="2"/>
  <c r="GZ29" i="2"/>
  <c r="GX33" i="2"/>
  <c r="HB33" i="2"/>
  <c r="GW33" i="2"/>
  <c r="GZ33" i="2"/>
  <c r="HA33" i="2"/>
  <c r="GY33" i="2"/>
  <c r="GY41" i="2"/>
  <c r="GW41" i="2"/>
  <c r="HA41" i="2"/>
  <c r="GX41" i="2"/>
  <c r="HB41" i="2"/>
  <c r="GZ41" i="2"/>
  <c r="GY45" i="2"/>
  <c r="GW45" i="2"/>
  <c r="HA45" i="2"/>
  <c r="GX45" i="2"/>
  <c r="HB45" i="2"/>
  <c r="GZ45" i="2"/>
  <c r="GW51" i="2"/>
  <c r="HA51" i="2"/>
  <c r="GY51" i="2"/>
  <c r="GZ51" i="2"/>
  <c r="GX51" i="2"/>
  <c r="HB51" i="2"/>
  <c r="GZ31" i="2"/>
  <c r="GX31" i="2"/>
  <c r="HA31" i="2"/>
  <c r="GW31" i="2"/>
  <c r="HB31" i="2"/>
  <c r="GY31" i="2"/>
  <c r="GW43" i="2"/>
  <c r="HA43" i="2"/>
  <c r="GY43" i="2"/>
  <c r="GZ43" i="2"/>
  <c r="GX43" i="2"/>
  <c r="HB43" i="2"/>
  <c r="GW21" i="2"/>
  <c r="HA21" i="2"/>
  <c r="GX21" i="2"/>
  <c r="HB21" i="2"/>
  <c r="GY21" i="2"/>
  <c r="GZ21" i="2"/>
  <c r="AB22" i="2"/>
  <c r="AF22" i="2"/>
  <c r="AJ22" i="2"/>
  <c r="AC22" i="2"/>
  <c r="AG22" i="2"/>
  <c r="AK22" i="2"/>
  <c r="Z22" i="2"/>
  <c r="AH22" i="2"/>
  <c r="AA22" i="2"/>
  <c r="AI22" i="2"/>
  <c r="AD22" i="2"/>
  <c r="AL22" i="2"/>
  <c r="AE22" i="2"/>
  <c r="AM22" i="2"/>
  <c r="CE19" i="2"/>
  <c r="CI19" i="2"/>
  <c r="CF19" i="2"/>
  <c r="CJ19" i="2"/>
  <c r="CC19" i="2"/>
  <c r="CG19" i="2"/>
  <c r="CK19" i="2"/>
  <c r="CD19" i="2"/>
  <c r="CH19" i="2"/>
  <c r="CL19" i="2"/>
  <c r="Z24" i="2"/>
  <c r="AD24" i="2"/>
  <c r="AH24" i="2"/>
  <c r="AL24" i="2"/>
  <c r="AA24" i="2"/>
  <c r="AE24" i="2"/>
  <c r="AI24" i="2"/>
  <c r="AM24" i="2"/>
  <c r="AB24" i="2"/>
  <c r="AJ24" i="2"/>
  <c r="AC24" i="2"/>
  <c r="AK24" i="2"/>
  <c r="AF24" i="2"/>
  <c r="AG24" i="2"/>
  <c r="AF20" i="2"/>
  <c r="AJ20" i="2"/>
  <c r="AH20" i="2"/>
  <c r="AM20" i="2"/>
  <c r="AE20" i="2"/>
  <c r="AI20" i="2"/>
  <c r="AK20" i="2"/>
  <c r="AL20" i="2"/>
  <c r="AG20" i="2"/>
  <c r="Z48" i="2"/>
  <c r="AH48" i="2"/>
  <c r="AL48" i="2"/>
  <c r="AA48" i="2"/>
  <c r="AE48" i="2"/>
  <c r="AI48" i="2"/>
  <c r="AB26" i="2"/>
  <c r="AF26" i="2"/>
  <c r="AJ26" i="2"/>
  <c r="AC26" i="2"/>
  <c r="AG26" i="2"/>
  <c r="AK26" i="2"/>
  <c r="AD26" i="2"/>
  <c r="AL26" i="2"/>
  <c r="AE26" i="2"/>
  <c r="AM26" i="2"/>
  <c r="Z26" i="2"/>
  <c r="AH26" i="2"/>
  <c r="AI26" i="2"/>
  <c r="AA26" i="2"/>
  <c r="AH56" i="2"/>
  <c r="AJ60" i="2"/>
  <c r="AI60" i="2"/>
  <c r="AJ68" i="2"/>
  <c r="AI68" i="2"/>
  <c r="AJ62" i="2"/>
  <c r="AI62" i="2"/>
  <c r="AI66" i="2"/>
  <c r="AJ66" i="2"/>
  <c r="AJ64" i="2"/>
  <c r="AI64" i="2"/>
  <c r="AH68" i="2"/>
  <c r="AG68" i="2"/>
  <c r="AH62" i="2"/>
  <c r="AG62" i="2"/>
  <c r="AH66" i="2"/>
  <c r="AG66" i="2"/>
  <c r="AH64" i="2"/>
  <c r="AG64" i="2"/>
  <c r="AH60" i="2"/>
  <c r="AG60" i="2"/>
  <c r="AF60" i="2"/>
  <c r="AE60" i="2"/>
  <c r="AF68" i="2"/>
  <c r="AE68" i="2"/>
  <c r="AF62" i="2"/>
  <c r="AE62" i="2"/>
  <c r="AF66" i="2"/>
  <c r="AE66" i="2"/>
  <c r="AF64" i="2"/>
  <c r="AE64" i="2"/>
  <c r="AD68" i="2"/>
  <c r="AC68" i="2"/>
  <c r="AC62" i="2"/>
  <c r="AD62" i="2"/>
  <c r="AC66" i="2"/>
  <c r="AD66" i="2"/>
  <c r="AD64" i="2"/>
  <c r="AC64" i="2"/>
  <c r="AD60" i="2"/>
  <c r="AC60" i="2"/>
  <c r="AB60" i="2"/>
  <c r="AA60" i="2"/>
  <c r="AB68" i="2"/>
  <c r="AA68" i="2"/>
  <c r="AA62" i="2"/>
  <c r="AB62" i="2"/>
  <c r="AA66" i="2"/>
  <c r="AB66" i="2"/>
  <c r="AB64" i="2"/>
  <c r="AA64" i="2"/>
  <c r="P48" i="2"/>
  <c r="Y48" i="2"/>
  <c r="R48" i="2"/>
  <c r="K48" i="2"/>
  <c r="P66" i="2"/>
  <c r="X66" i="2"/>
  <c r="Q66" i="2"/>
  <c r="Y66" i="2"/>
  <c r="J66" i="2"/>
  <c r="R66" i="2"/>
  <c r="Z66" i="2"/>
  <c r="T66" i="2"/>
  <c r="K66" i="2"/>
  <c r="S66" i="2"/>
  <c r="AK66" i="2"/>
  <c r="L66" i="2"/>
  <c r="M66" i="2"/>
  <c r="U66" i="2"/>
  <c r="AM66" i="2"/>
  <c r="N66" i="2"/>
  <c r="V66" i="2"/>
  <c r="O66" i="2"/>
  <c r="W66" i="2"/>
  <c r="AL66" i="2"/>
  <c r="M64" i="2"/>
  <c r="U64" i="2"/>
  <c r="AM64" i="2"/>
  <c r="N64" i="2"/>
  <c r="V64" i="2"/>
  <c r="O64" i="2"/>
  <c r="W64" i="2"/>
  <c r="Y64" i="2"/>
  <c r="P64" i="2"/>
  <c r="X64" i="2"/>
  <c r="Q64" i="2"/>
  <c r="J64" i="2"/>
  <c r="R64" i="2"/>
  <c r="Z64" i="2"/>
  <c r="K64" i="2"/>
  <c r="S64" i="2"/>
  <c r="AK64" i="2"/>
  <c r="L64" i="2"/>
  <c r="T64" i="2"/>
  <c r="AL64" i="2"/>
  <c r="K68" i="2"/>
  <c r="S68" i="2"/>
  <c r="AK68" i="2"/>
  <c r="L68" i="2"/>
  <c r="T68" i="2"/>
  <c r="AL68" i="2"/>
  <c r="M68" i="2"/>
  <c r="U68" i="2"/>
  <c r="AM68" i="2"/>
  <c r="N68" i="2"/>
  <c r="V68" i="2"/>
  <c r="O68" i="2"/>
  <c r="P68" i="2"/>
  <c r="X68" i="2"/>
  <c r="Q68" i="2"/>
  <c r="Y68" i="2"/>
  <c r="J68" i="2"/>
  <c r="R68" i="2"/>
  <c r="Z68" i="2"/>
  <c r="W68" i="2"/>
  <c r="S56" i="2"/>
  <c r="U56" i="2"/>
  <c r="Y26" i="2"/>
  <c r="U26" i="2"/>
  <c r="V26" i="2"/>
  <c r="W26" i="2"/>
  <c r="X26" i="2"/>
  <c r="J62" i="2"/>
  <c r="R62" i="2"/>
  <c r="Z62" i="2"/>
  <c r="K62" i="2"/>
  <c r="S62" i="2"/>
  <c r="AK62" i="2"/>
  <c r="L62" i="2"/>
  <c r="T62" i="2"/>
  <c r="AL62" i="2"/>
  <c r="M62" i="2"/>
  <c r="U62" i="2"/>
  <c r="AM62" i="2"/>
  <c r="N62" i="2"/>
  <c r="V62" i="2"/>
  <c r="O62" i="2"/>
  <c r="W62" i="2"/>
  <c r="P62" i="2"/>
  <c r="X62" i="2"/>
  <c r="Q62" i="2"/>
  <c r="Y62" i="2"/>
  <c r="V24" i="2"/>
  <c r="W24" i="2"/>
  <c r="X24" i="2"/>
  <c r="Y24" i="2"/>
  <c r="T24" i="2"/>
  <c r="U24" i="2"/>
  <c r="O60" i="2"/>
  <c r="W60" i="2"/>
  <c r="P60" i="2"/>
  <c r="X60" i="2"/>
  <c r="Q60" i="2"/>
  <c r="Y60" i="2"/>
  <c r="S60" i="2"/>
  <c r="AK60" i="2"/>
  <c r="J60" i="2"/>
  <c r="R60" i="2"/>
  <c r="Z60" i="2"/>
  <c r="K60" i="2"/>
  <c r="L60" i="2"/>
  <c r="T60" i="2"/>
  <c r="AL60" i="2"/>
  <c r="M60" i="2"/>
  <c r="U60" i="2"/>
  <c r="AM60" i="2"/>
  <c r="N60" i="2"/>
  <c r="V60" i="2"/>
  <c r="S22" i="2"/>
  <c r="T22" i="2"/>
  <c r="U22" i="2"/>
  <c r="W22" i="2"/>
  <c r="V22" i="2"/>
  <c r="P22" i="2"/>
  <c r="X22" i="2"/>
  <c r="Y22" i="2"/>
  <c r="DQ13" i="2"/>
  <c r="DT13" i="2"/>
  <c r="AB13" i="2" s="1"/>
  <c r="DS13" i="2"/>
  <c r="AA13" i="2" s="1"/>
  <c r="DR13" i="2"/>
  <c r="E39" i="3"/>
  <c r="E36" i="3"/>
  <c r="E38" i="3"/>
  <c r="E40" i="3"/>
  <c r="E37" i="3"/>
  <c r="DX21" i="2"/>
  <c r="DX25" i="2"/>
  <c r="DX29" i="2"/>
  <c r="DX33" i="2"/>
  <c r="DX37" i="2"/>
  <c r="DX41" i="2"/>
  <c r="DX45" i="2"/>
  <c r="DX49" i="2"/>
  <c r="DX53" i="2"/>
  <c r="DX57" i="2"/>
  <c r="DX61" i="2"/>
  <c r="DX65" i="2"/>
  <c r="DY19" i="2"/>
  <c r="DY21" i="2"/>
  <c r="DY25" i="2"/>
  <c r="DY29" i="2"/>
  <c r="DY33" i="2"/>
  <c r="DY37" i="2"/>
  <c r="DY41" i="2"/>
  <c r="DY45" i="2"/>
  <c r="DY49" i="2"/>
  <c r="DY53" i="2"/>
  <c r="DY57" i="2"/>
  <c r="DY61" i="2"/>
  <c r="DY65" i="2"/>
  <c r="DX19" i="2"/>
  <c r="DX23" i="2"/>
  <c r="DX27" i="2"/>
  <c r="DX31" i="2"/>
  <c r="DX35" i="2"/>
  <c r="DX39" i="2"/>
  <c r="DX43" i="2"/>
  <c r="DX47" i="2"/>
  <c r="DX51" i="2"/>
  <c r="DX55" i="2"/>
  <c r="DX59" i="2"/>
  <c r="DX63" i="2"/>
  <c r="DX67" i="2"/>
  <c r="DY23" i="2"/>
  <c r="DY27" i="2"/>
  <c r="DY31" i="2"/>
  <c r="DY35" i="2"/>
  <c r="DY39" i="2"/>
  <c r="DY43" i="2"/>
  <c r="DY47" i="2"/>
  <c r="DY51" i="2"/>
  <c r="DY55" i="2"/>
  <c r="DY59" i="2"/>
  <c r="DY63" i="2"/>
  <c r="DY67" i="2"/>
  <c r="DR21" i="2"/>
  <c r="DR29" i="2"/>
  <c r="DR37" i="2"/>
  <c r="DR45" i="2"/>
  <c r="DR53" i="2"/>
  <c r="DR61" i="2"/>
  <c r="DR19" i="2"/>
  <c r="DQ27" i="2"/>
  <c r="DQ35" i="2"/>
  <c r="DQ43" i="2"/>
  <c r="DQ51" i="2"/>
  <c r="DQ59" i="2"/>
  <c r="DQ67" i="2"/>
  <c r="DR23" i="2"/>
  <c r="DR31" i="2"/>
  <c r="DR39" i="2"/>
  <c r="DR47" i="2"/>
  <c r="DR55" i="2"/>
  <c r="DR63" i="2"/>
  <c r="DQ21" i="2"/>
  <c r="DQ29" i="2"/>
  <c r="DQ37" i="2"/>
  <c r="DQ45" i="2"/>
  <c r="DQ53" i="2"/>
  <c r="DQ61" i="2"/>
  <c r="DQ19" i="2"/>
  <c r="DR59" i="2"/>
  <c r="DQ33" i="2"/>
  <c r="DQ41" i="2"/>
  <c r="DR25" i="2"/>
  <c r="DR33" i="2"/>
  <c r="DR41" i="2"/>
  <c r="DR49" i="2"/>
  <c r="DR57" i="2"/>
  <c r="DR65" i="2"/>
  <c r="DQ23" i="2"/>
  <c r="DQ31" i="2"/>
  <c r="DQ39" i="2"/>
  <c r="DQ47" i="2"/>
  <c r="DQ55" i="2"/>
  <c r="DQ63" i="2"/>
  <c r="DR27" i="2"/>
  <c r="DR35" i="2"/>
  <c r="DR43" i="2"/>
  <c r="DR51" i="2"/>
  <c r="DR67" i="2"/>
  <c r="DQ25" i="2"/>
  <c r="DQ49" i="2"/>
  <c r="DQ57" i="2"/>
  <c r="DQ65" i="2"/>
  <c r="EL62" i="2"/>
  <c r="FC68" i="2"/>
  <c r="FB68" i="2"/>
  <c r="EY85" i="2"/>
  <c r="ER66" i="2"/>
  <c r="EL64" i="2"/>
  <c r="EL66" i="2"/>
  <c r="EW60" i="2"/>
  <c r="EY68" i="2"/>
  <c r="ES62" i="2"/>
  <c r="EQ64" i="2"/>
  <c r="FC62" i="2"/>
  <c r="ER64" i="2"/>
  <c r="ER68" i="2"/>
  <c r="EP66" i="2"/>
  <c r="ET66" i="2"/>
  <c r="EU60" i="2"/>
  <c r="ES60" i="2"/>
  <c r="EO60" i="2"/>
  <c r="ER60" i="2"/>
  <c r="EM68" i="2"/>
  <c r="EM62" i="2"/>
  <c r="DM61" i="2"/>
  <c r="EZ62" i="2"/>
  <c r="EN62" i="2"/>
  <c r="EV62" i="2"/>
  <c r="EY62" i="2"/>
  <c r="EK64" i="2"/>
  <c r="FD64" i="2"/>
  <c r="EV64" i="2"/>
  <c r="EP64" i="2"/>
  <c r="EX68" i="2"/>
  <c r="EW68" i="2"/>
  <c r="FA68" i="2"/>
  <c r="FD68" i="2"/>
  <c r="EN68" i="2"/>
  <c r="EP85" i="2"/>
  <c r="EW85" i="2"/>
  <c r="EX66" i="2"/>
  <c r="EN66" i="2"/>
  <c r="EO66" i="2"/>
  <c r="EQ60" i="2"/>
  <c r="EP60" i="2"/>
  <c r="FD60" i="2"/>
  <c r="EN60" i="2"/>
  <c r="ER62" i="2"/>
  <c r="EO64" i="2"/>
  <c r="ET64" i="2"/>
  <c r="EK68" i="2"/>
  <c r="EM66" i="2"/>
  <c r="EM64" i="2"/>
  <c r="FD62" i="2"/>
  <c r="FB62" i="2"/>
  <c r="ET62" i="2"/>
  <c r="EP62" i="2"/>
  <c r="EU62" i="2"/>
  <c r="EL60" i="2"/>
  <c r="EZ64" i="2"/>
  <c r="EY64" i="2"/>
  <c r="FC64" i="2"/>
  <c r="FB64" i="2"/>
  <c r="ET68" i="2"/>
  <c r="ES68" i="2"/>
  <c r="EQ68" i="2"/>
  <c r="EU68" i="2"/>
  <c r="EZ68" i="2"/>
  <c r="EX85" i="2"/>
  <c r="ES85" i="2"/>
  <c r="FB66" i="2"/>
  <c r="EZ66" i="2"/>
  <c r="FD66" i="2"/>
  <c r="FA66" i="2"/>
  <c r="EK66" i="2"/>
  <c r="EX60" i="2"/>
  <c r="EK60" i="2"/>
  <c r="EY60" i="2"/>
  <c r="EZ60" i="2"/>
  <c r="FA62" i="2"/>
  <c r="EN64" i="2"/>
  <c r="EQ66" i="2"/>
  <c r="ES66" i="2"/>
  <c r="EM60" i="2"/>
  <c r="EX62" i="2"/>
  <c r="EW62" i="2"/>
  <c r="EO62" i="2"/>
  <c r="EK62" i="2"/>
  <c r="EQ62" i="2"/>
  <c r="EL68" i="2"/>
  <c r="FA64" i="2"/>
  <c r="EU64" i="2"/>
  <c r="ES64" i="2"/>
  <c r="EW64" i="2"/>
  <c r="EX64" i="2"/>
  <c r="EO68" i="2"/>
  <c r="EP68" i="2"/>
  <c r="EV68" i="2"/>
  <c r="FC66" i="2"/>
  <c r="EV66" i="2"/>
  <c r="EU66" i="2"/>
  <c r="EY66" i="2"/>
  <c r="EW66" i="2"/>
  <c r="FB60" i="2"/>
  <c r="FA60" i="2"/>
  <c r="FC60" i="2"/>
  <c r="ET60" i="2"/>
  <c r="EV60" i="2"/>
  <c r="DM65" i="2"/>
  <c r="DM63" i="2"/>
  <c r="DM59" i="2"/>
  <c r="DM67" i="2"/>
  <c r="CR31" i="2"/>
  <c r="F32" i="2" s="1"/>
  <c r="BS62" i="2"/>
  <c r="BV62" i="2"/>
  <c r="BZ62" i="2"/>
  <c r="BU62" i="2"/>
  <c r="BX62" i="2"/>
  <c r="CA62" i="2"/>
  <c r="BT62" i="2"/>
  <c r="BW62" i="2"/>
  <c r="BY62" i="2"/>
  <c r="CB62" i="2"/>
  <c r="BS60" i="2"/>
  <c r="BV60" i="2"/>
  <c r="BZ60" i="2"/>
  <c r="BU60" i="2"/>
  <c r="CA60" i="2"/>
  <c r="CB60" i="2"/>
  <c r="BW60" i="2"/>
  <c r="BX60" i="2"/>
  <c r="BY60" i="2"/>
  <c r="BT60" i="2"/>
  <c r="BS66" i="2"/>
  <c r="BV66" i="2"/>
  <c r="BZ66" i="2"/>
  <c r="BU66" i="2"/>
  <c r="BX66" i="2"/>
  <c r="CA66" i="2"/>
  <c r="BT66" i="2"/>
  <c r="BW66" i="2"/>
  <c r="BY66" i="2"/>
  <c r="CB66" i="2"/>
  <c r="BS67" i="2"/>
  <c r="BV67" i="2"/>
  <c r="BZ67" i="2"/>
  <c r="CB67" i="2"/>
  <c r="BY67" i="2"/>
  <c r="BX67" i="2"/>
  <c r="BU67" i="2"/>
  <c r="BT67" i="2"/>
  <c r="CA67" i="2"/>
  <c r="BW67" i="2"/>
  <c r="BS63" i="2"/>
  <c r="BV63" i="2"/>
  <c r="BZ63" i="2"/>
  <c r="CB63" i="2"/>
  <c r="BY63" i="2"/>
  <c r="BX63" i="2"/>
  <c r="BU63" i="2"/>
  <c r="BT63" i="2"/>
  <c r="CA63" i="2"/>
  <c r="BW63" i="2"/>
  <c r="BS65" i="2"/>
  <c r="BV65" i="2"/>
  <c r="BZ65" i="2"/>
  <c r="BT65" i="2"/>
  <c r="BY65" i="2"/>
  <c r="BU65" i="2"/>
  <c r="CB65" i="2"/>
  <c r="CA65" i="2"/>
  <c r="BX65" i="2"/>
  <c r="BW65" i="2"/>
  <c r="BS59" i="2"/>
  <c r="BV59" i="2"/>
  <c r="BZ59" i="2"/>
  <c r="CB59" i="2"/>
  <c r="BY59" i="2"/>
  <c r="BX59" i="2"/>
  <c r="BU59" i="2"/>
  <c r="BT59" i="2"/>
  <c r="CA59" i="2"/>
  <c r="BW59" i="2"/>
  <c r="BS68" i="2"/>
  <c r="BV68" i="2"/>
  <c r="BZ68" i="2"/>
  <c r="BU68" i="2"/>
  <c r="CA68" i="2"/>
  <c r="CB68" i="2"/>
  <c r="BW68" i="2"/>
  <c r="BX68" i="2"/>
  <c r="BY68" i="2"/>
  <c r="BT68" i="2"/>
  <c r="BS61" i="2"/>
  <c r="BV61" i="2"/>
  <c r="BZ61" i="2"/>
  <c r="BT61" i="2"/>
  <c r="BY61" i="2"/>
  <c r="BU61" i="2"/>
  <c r="CB61" i="2"/>
  <c r="CA61" i="2"/>
  <c r="BX61" i="2"/>
  <c r="BW61" i="2"/>
  <c r="BV19" i="2"/>
  <c r="BZ19" i="2"/>
  <c r="BW19" i="2"/>
  <c r="CA19" i="2"/>
  <c r="BS19" i="2"/>
  <c r="BT19" i="2"/>
  <c r="BX19" i="2"/>
  <c r="CB19" i="2"/>
  <c r="BU19" i="2"/>
  <c r="BY19" i="2"/>
  <c r="BS64" i="2"/>
  <c r="BZ64" i="2"/>
  <c r="BU64" i="2"/>
  <c r="BV64" i="2"/>
  <c r="CA64" i="2"/>
  <c r="CB64" i="2"/>
  <c r="BW64" i="2"/>
  <c r="BX64" i="2"/>
  <c r="BY64" i="2"/>
  <c r="BT64" i="2"/>
  <c r="DB21" i="2"/>
  <c r="DC21" i="2"/>
  <c r="DB25" i="2"/>
  <c r="DC25" i="2"/>
  <c r="DB37" i="2"/>
  <c r="DC37" i="2"/>
  <c r="DC23" i="2"/>
  <c r="DB23" i="2"/>
  <c r="DC47" i="2"/>
  <c r="DB47" i="2"/>
  <c r="DB49" i="2"/>
  <c r="DC49" i="2"/>
  <c r="DB67" i="2"/>
  <c r="DC67" i="2"/>
  <c r="DB33" i="2"/>
  <c r="DC33" i="2"/>
  <c r="DC63" i="2"/>
  <c r="DB63" i="2"/>
  <c r="DB45" i="2"/>
  <c r="DC45" i="2"/>
  <c r="DB61" i="2"/>
  <c r="DC61" i="2"/>
  <c r="DB29" i="2"/>
  <c r="DC29" i="2"/>
  <c r="DB27" i="2"/>
  <c r="DC27" i="2"/>
  <c r="DB51" i="2"/>
  <c r="DC51" i="2"/>
  <c r="DC31" i="2"/>
  <c r="DB31" i="2"/>
  <c r="DC39" i="2"/>
  <c r="DB39" i="2"/>
  <c r="DC55" i="2"/>
  <c r="DB55" i="2"/>
  <c r="DB57" i="2"/>
  <c r="DC57" i="2"/>
  <c r="DB65" i="2"/>
  <c r="DC65" i="2"/>
  <c r="DB43" i="2"/>
  <c r="DC43" i="2"/>
  <c r="DB59" i="2"/>
  <c r="DC59" i="2"/>
  <c r="DB41" i="2"/>
  <c r="DC41" i="2"/>
  <c r="DB53" i="2"/>
  <c r="DC53" i="2"/>
  <c r="DB35" i="2"/>
  <c r="DC35" i="2"/>
  <c r="L48" i="2"/>
  <c r="S24" i="2"/>
  <c r="AJ30" i="2"/>
  <c r="Z30" i="2"/>
  <c r="AD30" i="2"/>
  <c r="X30" i="2"/>
  <c r="Y30" i="2"/>
  <c r="AC30" i="2"/>
  <c r="AH30" i="2"/>
  <c r="AL30" i="2"/>
  <c r="T30" i="2"/>
  <c r="W30" i="2"/>
  <c r="AB30" i="2"/>
  <c r="AG30" i="2"/>
  <c r="AA30" i="2"/>
  <c r="AM30" i="2"/>
  <c r="U30" i="2"/>
  <c r="AF30" i="2"/>
  <c r="AK30" i="2"/>
  <c r="AI30" i="2"/>
  <c r="AE30" i="2"/>
  <c r="V30" i="2"/>
  <c r="T26" i="2"/>
  <c r="Q28" i="2"/>
  <c r="AC20" i="2"/>
  <c r="AB20" i="2"/>
  <c r="AA20" i="2"/>
  <c r="AD20" i="2"/>
  <c r="Z20" i="2"/>
  <c r="Y20" i="2"/>
  <c r="X20" i="2"/>
  <c r="W20" i="2"/>
  <c r="V20" i="2"/>
  <c r="U20" i="2"/>
  <c r="T20" i="2"/>
  <c r="Q22" i="2"/>
  <c r="R22" i="2"/>
  <c r="O28" i="2"/>
  <c r="FQ78" i="2" l="1" a="1"/>
  <c r="FP80" i="2" a="1"/>
  <c r="FQ80" i="2" s="1" a="1"/>
  <c r="FP85" i="2" a="1"/>
  <c r="FQ85" i="2" s="1" a="1"/>
  <c r="FQ83" i="2" a="1"/>
  <c r="FP90" i="2" a="1"/>
  <c r="FQ90" i="2" s="1" a="1"/>
  <c r="FQ88" i="2" a="1"/>
  <c r="FP75" i="2" a="1"/>
  <c r="FQ75" i="2" s="1" a="1"/>
  <c r="HN19" i="2"/>
  <c r="HN23" i="2"/>
  <c r="HN41" i="2"/>
  <c r="HN27" i="2"/>
  <c r="EG107" i="2"/>
  <c r="EH107" i="2"/>
  <c r="EG109" i="2"/>
  <c r="EH109" i="2"/>
  <c r="EG75" i="2"/>
  <c r="EH75" i="2"/>
  <c r="EG111" i="2"/>
  <c r="EH111" i="2"/>
  <c r="EH101" i="2"/>
  <c r="EG101" i="2"/>
  <c r="EI20" i="2" a="1"/>
  <c r="FQ73" i="2" a="1"/>
  <c r="EH73" i="2"/>
  <c r="EG73" i="2"/>
  <c r="DT9" i="2"/>
  <c r="DR10" i="2"/>
  <c r="DT10" i="2"/>
  <c r="AF54" i="2"/>
  <c r="J48" i="2"/>
  <c r="AG56" i="2"/>
  <c r="N48" i="2"/>
  <c r="AC56" i="2"/>
  <c r="AK56" i="2"/>
  <c r="M56" i="2"/>
  <c r="AL56" i="2"/>
  <c r="T56" i="2"/>
  <c r="AF48" i="2"/>
  <c r="Z56" i="2"/>
  <c r="W48" i="2"/>
  <c r="N56" i="2"/>
  <c r="L56" i="2"/>
  <c r="AK48" i="2"/>
  <c r="R56" i="2"/>
  <c r="AB50" i="2"/>
  <c r="R50" i="2"/>
  <c r="AI56" i="2"/>
  <c r="Z44" i="2"/>
  <c r="Y50" i="2"/>
  <c r="AD56" i="2"/>
  <c r="AH58" i="2"/>
  <c r="X56" i="2"/>
  <c r="AM56" i="2"/>
  <c r="Y36" i="2"/>
  <c r="U36" i="2"/>
  <c r="EI22" i="2" a="1"/>
  <c r="EI58" i="2" a="1"/>
  <c r="EI48" i="2" a="1"/>
  <c r="P54" i="2"/>
  <c r="W50" i="2"/>
  <c r="Z54" i="2"/>
  <c r="AE50" i="2"/>
  <c r="W54" i="2"/>
  <c r="V50" i="2"/>
  <c r="X48" i="2"/>
  <c r="AL50" i="2"/>
  <c r="M50" i="2"/>
  <c r="U50" i="2"/>
  <c r="AK50" i="2"/>
  <c r="X50" i="2"/>
  <c r="AI50" i="2"/>
  <c r="N50" i="2"/>
  <c r="AD50" i="2"/>
  <c r="P58" i="2"/>
  <c r="T50" i="2"/>
  <c r="V48" i="2"/>
  <c r="AM48" i="2"/>
  <c r="AL44" i="2"/>
  <c r="AG50" i="2"/>
  <c r="Q44" i="2"/>
  <c r="AA50" i="2"/>
  <c r="Z50" i="2"/>
  <c r="L50" i="2"/>
  <c r="S50" i="2"/>
  <c r="AH44" i="2"/>
  <c r="AC50" i="2"/>
  <c r="Q50" i="2"/>
  <c r="K50" i="2"/>
  <c r="K44" i="2"/>
  <c r="AD44" i="2"/>
  <c r="AF50" i="2"/>
  <c r="U58" i="2"/>
  <c r="K58" i="2"/>
  <c r="AC54" i="2"/>
  <c r="AM58" i="2"/>
  <c r="R58" i="2"/>
  <c r="L58" i="2"/>
  <c r="S54" i="2"/>
  <c r="K56" i="2"/>
  <c r="O48" i="2"/>
  <c r="AB56" i="2"/>
  <c r="AG48" i="2"/>
  <c r="AD48" i="2"/>
  <c r="AM54" i="2"/>
  <c r="AI58" i="2"/>
  <c r="AJ50" i="2"/>
  <c r="O54" i="2"/>
  <c r="M58" i="2"/>
  <c r="AH54" i="2"/>
  <c r="Y58" i="2"/>
  <c r="AE54" i="2"/>
  <c r="W58" i="2"/>
  <c r="Q54" i="2"/>
  <c r="W56" i="2"/>
  <c r="Q56" i="2"/>
  <c r="P50" i="2"/>
  <c r="U48" i="2"/>
  <c r="J54" i="2"/>
  <c r="AA56" i="2"/>
  <c r="AC48" i="2"/>
  <c r="AB54" i="2"/>
  <c r="AA54" i="2"/>
  <c r="AF58" i="2"/>
  <c r="AH50" i="2"/>
  <c r="AG46" i="2"/>
  <c r="N58" i="2"/>
  <c r="V54" i="2"/>
  <c r="J58" i="2"/>
  <c r="N54" i="2"/>
  <c r="P56" i="2"/>
  <c r="M48" i="2"/>
  <c r="V58" i="2"/>
  <c r="AC58" i="2"/>
  <c r="U54" i="2"/>
  <c r="AJ54" i="2"/>
  <c r="AL58" i="2"/>
  <c r="M54" i="2"/>
  <c r="AD54" i="2"/>
  <c r="AG58" i="2"/>
  <c r="S58" i="2"/>
  <c r="T54" i="2"/>
  <c r="AB58" i="2"/>
  <c r="T58" i="2"/>
  <c r="L54" i="2"/>
  <c r="K54" i="2"/>
  <c r="AI54" i="2"/>
  <c r="Z58" i="2"/>
  <c r="AE58" i="2"/>
  <c r="Q58" i="2"/>
  <c r="Y54" i="2"/>
  <c r="Y56" i="2"/>
  <c r="AF56" i="2"/>
  <c r="AG54" i="2"/>
  <c r="AK58" i="2"/>
  <c r="AA58" i="2"/>
  <c r="Q48" i="2"/>
  <c r="O58" i="2"/>
  <c r="R54" i="2"/>
  <c r="O56" i="2"/>
  <c r="T48" i="2"/>
  <c r="AJ56" i="2"/>
  <c r="AJ48" i="2"/>
  <c r="AL54" i="2"/>
  <c r="AJ58" i="2"/>
  <c r="X58" i="2"/>
  <c r="X54" i="2"/>
  <c r="V56" i="2"/>
  <c r="O50" i="2"/>
  <c r="S48" i="2"/>
  <c r="J56" i="2"/>
  <c r="AM50" i="2"/>
  <c r="P34" i="2"/>
  <c r="Y42" i="2"/>
  <c r="U42" i="2"/>
  <c r="T42" i="2"/>
  <c r="S42" i="2"/>
  <c r="Q40" i="2"/>
  <c r="AC44" i="2"/>
  <c r="O44" i="2"/>
  <c r="AK44" i="2"/>
  <c r="X44" i="2"/>
  <c r="U44" i="2"/>
  <c r="AM44" i="2"/>
  <c r="AJ44" i="2"/>
  <c r="P44" i="2"/>
  <c r="AB44" i="2"/>
  <c r="T44" i="2"/>
  <c r="W44" i="2"/>
  <c r="AG44" i="2"/>
  <c r="S44" i="2"/>
  <c r="N44" i="2"/>
  <c r="AF44" i="2"/>
  <c r="V44" i="2"/>
  <c r="AI44" i="2"/>
  <c r="R44" i="2"/>
  <c r="AE44" i="2"/>
  <c r="Y44" i="2"/>
  <c r="P42" i="2"/>
  <c r="AM42" i="2"/>
  <c r="W42" i="2"/>
  <c r="AD42" i="2"/>
  <c r="AF42" i="2"/>
  <c r="AB40" i="2"/>
  <c r="AE36" i="2"/>
  <c r="U32" i="2"/>
  <c r="X32" i="2"/>
  <c r="AF32" i="2"/>
  <c r="P32" i="2"/>
  <c r="AM32" i="2"/>
  <c r="EM85" i="2"/>
  <c r="AA32" i="2"/>
  <c r="T34" i="2"/>
  <c r="AH34" i="2"/>
  <c r="AL34" i="2"/>
  <c r="AC34" i="2"/>
  <c r="Y34" i="2"/>
  <c r="W34" i="2"/>
  <c r="S34" i="2"/>
  <c r="Z34" i="2"/>
  <c r="AD34" i="2"/>
  <c r="AJ34" i="2"/>
  <c r="Q34" i="2"/>
  <c r="V34" i="2"/>
  <c r="R34" i="2"/>
  <c r="AI34" i="2"/>
  <c r="AM34" i="2"/>
  <c r="AK34" i="2"/>
  <c r="AF34" i="2"/>
  <c r="X34" i="2"/>
  <c r="U34" i="2"/>
  <c r="AA34" i="2"/>
  <c r="AE34" i="2"/>
  <c r="AG34" i="2"/>
  <c r="X46" i="2"/>
  <c r="R46" i="2"/>
  <c r="AE46" i="2"/>
  <c r="P36" i="2"/>
  <c r="AK36" i="2"/>
  <c r="Z36" i="2"/>
  <c r="T36" i="2"/>
  <c r="W36" i="2"/>
  <c r="AF36" i="2"/>
  <c r="R36" i="2"/>
  <c r="AM36" i="2"/>
  <c r="AD40" i="2"/>
  <c r="AE42" i="2"/>
  <c r="AB42" i="2"/>
  <c r="AI32" i="2"/>
  <c r="U40" i="2"/>
  <c r="O42" i="2"/>
  <c r="T40" i="2"/>
  <c r="X36" i="2"/>
  <c r="T32" i="2"/>
  <c r="W32" i="2"/>
  <c r="Z40" i="2"/>
  <c r="AI36" i="2"/>
  <c r="AL42" i="2"/>
  <c r="AG32" i="2"/>
  <c r="AE32" i="2"/>
  <c r="R42" i="2"/>
  <c r="Q36" i="2"/>
  <c r="AC36" i="2"/>
  <c r="AA36" i="2"/>
  <c r="AI42" i="2"/>
  <c r="AK42" i="2"/>
  <c r="AK32" i="2"/>
  <c r="AL32" i="2"/>
  <c r="S32" i="2"/>
  <c r="AJ36" i="2"/>
  <c r="AL36" i="2"/>
  <c r="AA42" i="2"/>
  <c r="AG42" i="2"/>
  <c r="AC32" i="2"/>
  <c r="AH32" i="2"/>
  <c r="Q42" i="2"/>
  <c r="S36" i="2"/>
  <c r="Y32" i="2"/>
  <c r="AB36" i="2"/>
  <c r="AH36" i="2"/>
  <c r="AH42" i="2"/>
  <c r="AC42" i="2"/>
  <c r="AJ32" i="2"/>
  <c r="AD32" i="2"/>
  <c r="V42" i="2"/>
  <c r="X42" i="2"/>
  <c r="Y40" i="2"/>
  <c r="V36" i="2"/>
  <c r="V32" i="2"/>
  <c r="AJ40" i="2"/>
  <c r="AG36" i="2"/>
  <c r="Z42" i="2"/>
  <c r="AB32" i="2"/>
  <c r="X40" i="2"/>
  <c r="S40" i="2"/>
  <c r="W46" i="2"/>
  <c r="AM40" i="2"/>
  <c r="AD46" i="2"/>
  <c r="AJ46" i="2"/>
  <c r="AC46" i="2"/>
  <c r="P40" i="2"/>
  <c r="K40" i="2"/>
  <c r="O46" i="2"/>
  <c r="AI40" i="2"/>
  <c r="AI46" i="2"/>
  <c r="AF46" i="2"/>
  <c r="W40" i="2"/>
  <c r="V46" i="2"/>
  <c r="AG40" i="2"/>
  <c r="AE40" i="2"/>
  <c r="AA46" i="2"/>
  <c r="AB46" i="2"/>
  <c r="P46" i="2"/>
  <c r="V40" i="2"/>
  <c r="U46" i="2"/>
  <c r="AF40" i="2"/>
  <c r="AA40" i="2"/>
  <c r="AH46" i="2"/>
  <c r="N40" i="2"/>
  <c r="Y46" i="2"/>
  <c r="T46" i="2"/>
  <c r="AK40" i="2"/>
  <c r="AL40" i="2"/>
  <c r="Z46" i="2"/>
  <c r="AL46" i="2"/>
  <c r="R40" i="2"/>
  <c r="O40" i="2"/>
  <c r="Q46" i="2"/>
  <c r="S46" i="2"/>
  <c r="AC40" i="2"/>
  <c r="AM46" i="2"/>
  <c r="S31" i="3"/>
  <c r="S30" i="3"/>
  <c r="Z13" i="2"/>
  <c r="Y13" i="2"/>
  <c r="DN13" i="2" a="1"/>
  <c r="DN13" i="2" s="1"/>
  <c r="DN12" i="2" s="1"/>
  <c r="DO13" i="2" a="1"/>
  <c r="DO13" i="2" s="1"/>
  <c r="DO12" i="2" s="1"/>
  <c r="DH13" i="2" a="1"/>
  <c r="DH13" i="2" s="1"/>
  <c r="DH12" i="2" s="1"/>
  <c r="DG13" i="2" a="1"/>
  <c r="DG13" i="2" s="1"/>
  <c r="DG12" i="2" s="1"/>
  <c r="EI66" i="2" a="1"/>
  <c r="EI65" i="2" s="1"/>
  <c r="EI64" i="2" a="1"/>
  <c r="EI63" i="2" s="1"/>
  <c r="EI60" i="2" a="1"/>
  <c r="EI59" i="2" s="1"/>
  <c r="EI62" i="2" a="1"/>
  <c r="EI61" i="2" s="1"/>
  <c r="EI68" i="2" a="1"/>
  <c r="EI67" i="2" s="1"/>
  <c r="DC19" i="2"/>
  <c r="DB19" i="2"/>
  <c r="G23" i="2"/>
  <c r="EL24" i="2" s="1"/>
  <c r="EL77" i="2" s="1"/>
  <c r="EG77" i="2" s="1"/>
  <c r="R32" i="2"/>
  <c r="Q32" i="2"/>
  <c r="M44" i="2"/>
  <c r="L44" i="2"/>
  <c r="J44" i="2"/>
  <c r="L42" i="2"/>
  <c r="M40" i="2"/>
  <c r="L40" i="2"/>
  <c r="FR81" i="2" l="1"/>
  <c r="FS81" i="2"/>
  <c r="FT81" i="2"/>
  <c r="FU81" i="2"/>
  <c r="FV81" i="2"/>
  <c r="FW81" i="2"/>
  <c r="FX81" i="2"/>
  <c r="FY81" i="2"/>
  <c r="FZ81" i="2"/>
  <c r="GA81" i="2"/>
  <c r="GB81" i="2"/>
  <c r="GC81" i="2"/>
  <c r="GD81" i="2"/>
  <c r="GE81" i="2"/>
  <c r="GF81" i="2"/>
  <c r="GG81" i="2"/>
  <c r="GH81" i="2"/>
  <c r="GI81" i="2"/>
  <c r="GJ81" i="2"/>
  <c r="GK81" i="2"/>
  <c r="GL81" i="2"/>
  <c r="GM81" i="2"/>
  <c r="GN81" i="2"/>
  <c r="GO81" i="2"/>
  <c r="GP81" i="2"/>
  <c r="GQ81" i="2"/>
  <c r="GR81" i="2"/>
  <c r="GS81" i="2"/>
  <c r="GT81" i="2"/>
  <c r="GU81" i="2"/>
  <c r="GF86" i="2"/>
  <c r="GN86" i="2"/>
  <c r="FR96" i="2"/>
  <c r="FS96" i="2"/>
  <c r="FT96" i="2"/>
  <c r="FU96" i="2"/>
  <c r="FV96" i="2"/>
  <c r="FW96" i="2"/>
  <c r="FX96" i="2"/>
  <c r="FY96" i="2"/>
  <c r="FZ96" i="2"/>
  <c r="GA96" i="2"/>
  <c r="GB96" i="2"/>
  <c r="GC96" i="2"/>
  <c r="GD96" i="2"/>
  <c r="GE96" i="2"/>
  <c r="GF96" i="2"/>
  <c r="GG96" i="2"/>
  <c r="GH96" i="2"/>
  <c r="GI96" i="2"/>
  <c r="GJ96" i="2"/>
  <c r="GK96" i="2"/>
  <c r="GL96" i="2"/>
  <c r="GM96" i="2"/>
  <c r="GN96" i="2"/>
  <c r="GO96" i="2"/>
  <c r="GP96" i="2"/>
  <c r="GQ96" i="2"/>
  <c r="GR96" i="2"/>
  <c r="GS96" i="2"/>
  <c r="GT96" i="2"/>
  <c r="GU96" i="2"/>
  <c r="FZ101" i="2"/>
  <c r="GA101" i="2"/>
  <c r="GB101" i="2"/>
  <c r="GC101" i="2"/>
  <c r="GD101" i="2"/>
  <c r="GE101" i="2"/>
  <c r="GF101" i="2"/>
  <c r="GG101" i="2"/>
  <c r="GH101" i="2"/>
  <c r="GI101" i="2"/>
  <c r="GJ101" i="2"/>
  <c r="GK101" i="2"/>
  <c r="GL101" i="2"/>
  <c r="GM101" i="2"/>
  <c r="GN101" i="2"/>
  <c r="GO101" i="2"/>
  <c r="GP101" i="2"/>
  <c r="GQ101" i="2"/>
  <c r="GR101" i="2"/>
  <c r="GS101" i="2"/>
  <c r="GT101" i="2"/>
  <c r="GU101" i="2"/>
  <c r="FY166" i="2"/>
  <c r="GG166" i="2"/>
  <c r="GO166" i="2"/>
  <c r="GS166" i="2"/>
  <c r="FW171" i="2"/>
  <c r="GB171" i="2"/>
  <c r="GI171" i="2"/>
  <c r="GN171" i="2"/>
  <c r="FR86" i="2"/>
  <c r="FT86" i="2"/>
  <c r="FW86" i="2"/>
  <c r="FZ86" i="2"/>
  <c r="GG86" i="2"/>
  <c r="GO86" i="2"/>
  <c r="FR101" i="2"/>
  <c r="FS101" i="2"/>
  <c r="FT101" i="2"/>
  <c r="FU101" i="2"/>
  <c r="FV101" i="2"/>
  <c r="FX101" i="2"/>
  <c r="FY101" i="2"/>
  <c r="FR106" i="2"/>
  <c r="FS106" i="2"/>
  <c r="FT106" i="2"/>
  <c r="FU106" i="2"/>
  <c r="FV106" i="2"/>
  <c r="FW106" i="2"/>
  <c r="FX106" i="2"/>
  <c r="FY106" i="2"/>
  <c r="FZ106" i="2"/>
  <c r="GA106" i="2"/>
  <c r="GB106" i="2"/>
  <c r="GC106" i="2"/>
  <c r="GD106" i="2"/>
  <c r="GE106" i="2"/>
  <c r="GF106" i="2"/>
  <c r="GG106" i="2"/>
  <c r="GH106" i="2"/>
  <c r="GI106" i="2"/>
  <c r="GJ106" i="2"/>
  <c r="GK106" i="2"/>
  <c r="GL106" i="2"/>
  <c r="GM106" i="2"/>
  <c r="GN106" i="2"/>
  <c r="GO106" i="2"/>
  <c r="GP106" i="2"/>
  <c r="GQ106" i="2"/>
  <c r="GR106" i="2"/>
  <c r="GS106" i="2"/>
  <c r="GT106" i="2"/>
  <c r="GU106" i="2"/>
  <c r="FR111" i="2"/>
  <c r="FS111" i="2"/>
  <c r="FT111" i="2"/>
  <c r="FU111" i="2"/>
  <c r="FV111" i="2"/>
  <c r="FW111" i="2"/>
  <c r="FX111" i="2"/>
  <c r="FY111" i="2"/>
  <c r="FZ111" i="2"/>
  <c r="GA111" i="2"/>
  <c r="GB111" i="2"/>
  <c r="GC111" i="2"/>
  <c r="GD111" i="2"/>
  <c r="GE111" i="2"/>
  <c r="GF111" i="2"/>
  <c r="GG111" i="2"/>
  <c r="GH111" i="2"/>
  <c r="GI111" i="2"/>
  <c r="GJ111" i="2"/>
  <c r="GK111" i="2"/>
  <c r="GL111" i="2"/>
  <c r="GM111" i="2"/>
  <c r="GN111" i="2"/>
  <c r="GO111" i="2"/>
  <c r="GP111" i="2"/>
  <c r="GQ111" i="2"/>
  <c r="GR111" i="2"/>
  <c r="GS111" i="2"/>
  <c r="GT111" i="2"/>
  <c r="GU111" i="2"/>
  <c r="GB141" i="2"/>
  <c r="GE141" i="2"/>
  <c r="GH141" i="2"/>
  <c r="GK141" i="2"/>
  <c r="GN141" i="2"/>
  <c r="GQ141" i="2"/>
  <c r="GS141" i="2"/>
  <c r="FS146" i="2"/>
  <c r="FV146" i="2"/>
  <c r="FX146" i="2"/>
  <c r="GA146" i="2"/>
  <c r="GF146" i="2"/>
  <c r="GI146" i="2"/>
  <c r="GL146" i="2"/>
  <c r="GO146" i="2"/>
  <c r="GR146" i="2"/>
  <c r="GU146" i="2"/>
  <c r="FU166" i="2"/>
  <c r="GB166" i="2"/>
  <c r="GH166" i="2"/>
  <c r="GN166" i="2"/>
  <c r="GT166" i="2"/>
  <c r="FX171" i="2"/>
  <c r="GE171" i="2"/>
  <c r="GK171" i="2"/>
  <c r="GQ171" i="2"/>
  <c r="GA86" i="2"/>
  <c r="GI86" i="2"/>
  <c r="GP86" i="2"/>
  <c r="GS116" i="2"/>
  <c r="GT116" i="2"/>
  <c r="GU116" i="2"/>
  <c r="FR121" i="2"/>
  <c r="FS121" i="2"/>
  <c r="FT121" i="2"/>
  <c r="FU121" i="2"/>
  <c r="FV121" i="2"/>
  <c r="FW121" i="2"/>
  <c r="FX121" i="2"/>
  <c r="FY121" i="2"/>
  <c r="FZ121" i="2"/>
  <c r="GA121" i="2"/>
  <c r="GB121" i="2"/>
  <c r="GC121" i="2"/>
  <c r="GD121" i="2"/>
  <c r="GE121" i="2"/>
  <c r="GF121" i="2"/>
  <c r="GG121" i="2"/>
  <c r="GH121" i="2"/>
  <c r="GI121" i="2"/>
  <c r="GJ121" i="2"/>
  <c r="GK121" i="2"/>
  <c r="GL121" i="2"/>
  <c r="GM121" i="2"/>
  <c r="GN121" i="2"/>
  <c r="GO121" i="2"/>
  <c r="GP121" i="2"/>
  <c r="GQ121" i="2"/>
  <c r="GR121" i="2"/>
  <c r="GS121" i="2"/>
  <c r="GT121" i="2"/>
  <c r="GU121" i="2"/>
  <c r="FR126" i="2"/>
  <c r="FS126" i="2"/>
  <c r="FT126" i="2"/>
  <c r="FU126" i="2"/>
  <c r="FV126" i="2"/>
  <c r="FW126" i="2"/>
  <c r="FX126" i="2"/>
  <c r="FY126" i="2"/>
  <c r="FZ126" i="2"/>
  <c r="GA126" i="2"/>
  <c r="GB126" i="2"/>
  <c r="GC126" i="2"/>
  <c r="GD126" i="2"/>
  <c r="GE126" i="2"/>
  <c r="GF126" i="2"/>
  <c r="GG126" i="2"/>
  <c r="FR136" i="2"/>
  <c r="FS136" i="2"/>
  <c r="FT136" i="2"/>
  <c r="FU136" i="2"/>
  <c r="FV136" i="2"/>
  <c r="FX136" i="2"/>
  <c r="FY136" i="2"/>
  <c r="GA136" i="2"/>
  <c r="GC136" i="2"/>
  <c r="GD136" i="2"/>
  <c r="GF136" i="2"/>
  <c r="GH136" i="2"/>
  <c r="GI136" i="2"/>
  <c r="GK136" i="2"/>
  <c r="GM136" i="2"/>
  <c r="GN136" i="2"/>
  <c r="GP136" i="2"/>
  <c r="GQ136" i="2"/>
  <c r="GS136" i="2"/>
  <c r="GU136" i="2"/>
  <c r="FW141" i="2"/>
  <c r="FX141" i="2"/>
  <c r="FY141" i="2"/>
  <c r="FZ141" i="2"/>
  <c r="GA141" i="2"/>
  <c r="GD141" i="2"/>
  <c r="GF141" i="2"/>
  <c r="GI141" i="2"/>
  <c r="GJ141" i="2"/>
  <c r="GM141" i="2"/>
  <c r="GP141" i="2"/>
  <c r="GR141" i="2"/>
  <c r="GU141" i="2"/>
  <c r="FR146" i="2"/>
  <c r="FU146" i="2"/>
  <c r="FW146" i="2"/>
  <c r="FZ146" i="2"/>
  <c r="GG146" i="2"/>
  <c r="GJ146" i="2"/>
  <c r="GM146" i="2"/>
  <c r="GN146" i="2"/>
  <c r="GQ146" i="2"/>
  <c r="GT146" i="2"/>
  <c r="FR161" i="2"/>
  <c r="FT161" i="2"/>
  <c r="FU161" i="2"/>
  <c r="FW161" i="2"/>
  <c r="FY161" i="2"/>
  <c r="GA161" i="2"/>
  <c r="GC161" i="2"/>
  <c r="GF161" i="2"/>
  <c r="GI161" i="2"/>
  <c r="GJ161" i="2"/>
  <c r="GM161" i="2"/>
  <c r="GN161" i="2"/>
  <c r="GQ161" i="2"/>
  <c r="GT161" i="2"/>
  <c r="FV166" i="2"/>
  <c r="GA166" i="2"/>
  <c r="GE166" i="2"/>
  <c r="GI166" i="2"/>
  <c r="GM166" i="2"/>
  <c r="GQ166" i="2"/>
  <c r="GU166" i="2"/>
  <c r="FT171" i="2"/>
  <c r="FV171" i="2"/>
  <c r="FY171" i="2"/>
  <c r="GD171" i="2"/>
  <c r="GH171" i="2"/>
  <c r="GL171" i="2"/>
  <c r="GR171" i="2"/>
  <c r="GT171" i="2"/>
  <c r="FS86" i="2"/>
  <c r="FU86" i="2"/>
  <c r="FV86" i="2"/>
  <c r="FX86" i="2"/>
  <c r="GC86" i="2"/>
  <c r="GH86" i="2"/>
  <c r="GK86" i="2"/>
  <c r="GQ86" i="2"/>
  <c r="GU86" i="2"/>
  <c r="FR131" i="2"/>
  <c r="FS131" i="2"/>
  <c r="FT131" i="2"/>
  <c r="FU131" i="2"/>
  <c r="FV131" i="2"/>
  <c r="FW131" i="2"/>
  <c r="FX131" i="2"/>
  <c r="FY131" i="2"/>
  <c r="FZ131" i="2"/>
  <c r="GA131" i="2"/>
  <c r="GB131" i="2"/>
  <c r="GC131" i="2"/>
  <c r="GD131" i="2"/>
  <c r="GE131" i="2"/>
  <c r="GF131" i="2"/>
  <c r="GG131" i="2"/>
  <c r="GH131" i="2"/>
  <c r="GI131" i="2"/>
  <c r="GJ131" i="2"/>
  <c r="GK131" i="2"/>
  <c r="GL131" i="2"/>
  <c r="GM131" i="2"/>
  <c r="GN131" i="2"/>
  <c r="GO131" i="2"/>
  <c r="GP131" i="2"/>
  <c r="GQ131" i="2"/>
  <c r="GR131" i="2"/>
  <c r="GS131" i="2"/>
  <c r="GT131" i="2"/>
  <c r="GU131" i="2"/>
  <c r="FW136" i="2"/>
  <c r="FZ136" i="2"/>
  <c r="GB136" i="2"/>
  <c r="GE136" i="2"/>
  <c r="GG136" i="2"/>
  <c r="GJ136" i="2"/>
  <c r="GL136" i="2"/>
  <c r="GO136" i="2"/>
  <c r="GR136" i="2"/>
  <c r="GT136" i="2"/>
  <c r="GC141" i="2"/>
  <c r="GG141" i="2"/>
  <c r="GL141" i="2"/>
  <c r="GO141" i="2"/>
  <c r="GT141" i="2"/>
  <c r="FT146" i="2"/>
  <c r="FY146" i="2"/>
  <c r="GB146" i="2"/>
  <c r="GC146" i="2"/>
  <c r="GD146" i="2"/>
  <c r="GE146" i="2"/>
  <c r="GH146" i="2"/>
  <c r="GK146" i="2"/>
  <c r="GP146" i="2"/>
  <c r="GS146" i="2"/>
  <c r="FX161" i="2"/>
  <c r="GB161" i="2"/>
  <c r="GE161" i="2"/>
  <c r="GH161" i="2"/>
  <c r="GL161" i="2"/>
  <c r="GP161" i="2"/>
  <c r="GR161" i="2"/>
  <c r="GU161" i="2"/>
  <c r="FR166" i="2"/>
  <c r="FW166" i="2"/>
  <c r="GC166" i="2"/>
  <c r="GJ166" i="2"/>
  <c r="GC171" i="2"/>
  <c r="GJ171" i="2"/>
  <c r="GP171" i="2"/>
  <c r="GB86" i="2"/>
  <c r="GJ86" i="2"/>
  <c r="GR86" i="2"/>
  <c r="FS161" i="2"/>
  <c r="FV161" i="2"/>
  <c r="FZ161" i="2"/>
  <c r="GD161" i="2"/>
  <c r="GG161" i="2"/>
  <c r="GK161" i="2"/>
  <c r="GO161" i="2"/>
  <c r="GS161" i="2"/>
  <c r="FT166" i="2"/>
  <c r="FX166" i="2"/>
  <c r="GD166" i="2"/>
  <c r="GK166" i="2"/>
  <c r="GP166" i="2"/>
  <c r="FR171" i="2"/>
  <c r="FS171" i="2"/>
  <c r="FU171" i="2"/>
  <c r="FZ171" i="2"/>
  <c r="GG171" i="2"/>
  <c r="GO171" i="2"/>
  <c r="GU171" i="2"/>
  <c r="GD86" i="2"/>
  <c r="GL86" i="2"/>
  <c r="GS86" i="2"/>
  <c r="FR156" i="2"/>
  <c r="FS156" i="2"/>
  <c r="FT156" i="2"/>
  <c r="FU156" i="2"/>
  <c r="FV156" i="2"/>
  <c r="FW156" i="2"/>
  <c r="FX156" i="2"/>
  <c r="FY156" i="2"/>
  <c r="FZ156" i="2"/>
  <c r="GA156" i="2"/>
  <c r="GB156" i="2"/>
  <c r="GC156" i="2"/>
  <c r="GD156" i="2"/>
  <c r="GE156" i="2"/>
  <c r="GF156" i="2"/>
  <c r="GG156" i="2"/>
  <c r="GH156" i="2"/>
  <c r="GI156" i="2"/>
  <c r="GJ156" i="2"/>
  <c r="GK156" i="2"/>
  <c r="GL156" i="2"/>
  <c r="GM156" i="2"/>
  <c r="GN156" i="2"/>
  <c r="GO156" i="2"/>
  <c r="GP156" i="2"/>
  <c r="GQ156" i="2"/>
  <c r="GR156" i="2"/>
  <c r="GS156" i="2"/>
  <c r="GT156" i="2"/>
  <c r="GU156" i="2"/>
  <c r="FS166" i="2"/>
  <c r="FZ166" i="2"/>
  <c r="GF166" i="2"/>
  <c r="GL166" i="2"/>
  <c r="GR166" i="2"/>
  <c r="GA171" i="2"/>
  <c r="GF171" i="2"/>
  <c r="GM171" i="2"/>
  <c r="GS171" i="2"/>
  <c r="FY86" i="2"/>
  <c r="GE86" i="2"/>
  <c r="GM86" i="2"/>
  <c r="GT86" i="2"/>
  <c r="FW101" i="2"/>
  <c r="GH91" i="2"/>
  <c r="GI91" i="2"/>
  <c r="GJ91" i="2"/>
  <c r="GK91" i="2"/>
  <c r="GL91" i="2"/>
  <c r="GM91" i="2"/>
  <c r="GP91" i="2"/>
  <c r="FS116" i="2"/>
  <c r="FT116" i="2"/>
  <c r="FU116" i="2"/>
  <c r="FV116" i="2"/>
  <c r="FW116" i="2"/>
  <c r="FX116" i="2"/>
  <c r="FY116" i="2"/>
  <c r="FZ116" i="2"/>
  <c r="GA116" i="2"/>
  <c r="GB116" i="2"/>
  <c r="GC116" i="2"/>
  <c r="GD116" i="2"/>
  <c r="GE116" i="2"/>
  <c r="GF116" i="2"/>
  <c r="GG116" i="2"/>
  <c r="GH116" i="2"/>
  <c r="GQ116" i="2"/>
  <c r="GH126" i="2"/>
  <c r="GJ126" i="2"/>
  <c r="GL126" i="2"/>
  <c r="GS91" i="2"/>
  <c r="GI116" i="2"/>
  <c r="GJ116" i="2"/>
  <c r="GK116" i="2"/>
  <c r="GL116" i="2"/>
  <c r="GM116" i="2"/>
  <c r="GN116" i="2"/>
  <c r="GO116" i="2"/>
  <c r="GP116" i="2"/>
  <c r="GR116" i="2"/>
  <c r="GI126" i="2"/>
  <c r="GK126" i="2"/>
  <c r="GM126" i="2"/>
  <c r="FX91" i="2"/>
  <c r="FZ91" i="2"/>
  <c r="GA91" i="2"/>
  <c r="GT91" i="2"/>
  <c r="GU91" i="2"/>
  <c r="GN126" i="2"/>
  <c r="GO126" i="2"/>
  <c r="GP126" i="2"/>
  <c r="GQ126" i="2"/>
  <c r="GR126" i="2"/>
  <c r="GS126" i="2"/>
  <c r="GT126" i="2"/>
  <c r="GU126" i="2"/>
  <c r="FR141" i="2"/>
  <c r="FS141" i="2"/>
  <c r="FT141" i="2"/>
  <c r="FU141" i="2"/>
  <c r="FV141" i="2"/>
  <c r="FR151" i="2"/>
  <c r="FS151" i="2"/>
  <c r="GI151" i="2"/>
  <c r="GP151" i="2"/>
  <c r="GQ151" i="2"/>
  <c r="GT151" i="2"/>
  <c r="FR91" i="2"/>
  <c r="FS91" i="2"/>
  <c r="FT91" i="2"/>
  <c r="FU91" i="2"/>
  <c r="FV91" i="2"/>
  <c r="GB91" i="2"/>
  <c r="FT151" i="2"/>
  <c r="FU151" i="2"/>
  <c r="FV151" i="2"/>
  <c r="FW151" i="2"/>
  <c r="FX151" i="2"/>
  <c r="FY151" i="2"/>
  <c r="FZ151" i="2"/>
  <c r="GA151" i="2"/>
  <c r="GB151" i="2"/>
  <c r="GC151" i="2"/>
  <c r="GD151" i="2"/>
  <c r="GE151" i="2"/>
  <c r="GF151" i="2"/>
  <c r="GG151" i="2"/>
  <c r="GH151" i="2"/>
  <c r="GS151" i="2"/>
  <c r="FY91" i="2"/>
  <c r="GC91" i="2"/>
  <c r="GD91" i="2"/>
  <c r="GQ91" i="2"/>
  <c r="GR91" i="2"/>
  <c r="GJ151" i="2"/>
  <c r="GK151" i="2"/>
  <c r="GL151" i="2"/>
  <c r="GM151" i="2"/>
  <c r="GN151" i="2"/>
  <c r="GO151" i="2"/>
  <c r="GR151" i="2"/>
  <c r="GU151" i="2"/>
  <c r="FW91" i="2"/>
  <c r="GE91" i="2"/>
  <c r="GF91" i="2"/>
  <c r="GG91" i="2"/>
  <c r="GN91" i="2"/>
  <c r="GO91" i="2"/>
  <c r="FR116" i="2"/>
  <c r="EI101" i="2"/>
  <c r="EI47" i="2" s="1"/>
  <c r="EI111" i="2"/>
  <c r="EI57" i="2" s="1"/>
  <c r="EI109" i="2"/>
  <c r="FQ38" i="2" a="1"/>
  <c r="FP38" i="2" s="1" a="1"/>
  <c r="FQ42" i="2" a="1"/>
  <c r="FP42" i="2" s="1" a="1"/>
  <c r="FQ56" i="2" a="1"/>
  <c r="FP56" i="2" s="1" a="1"/>
  <c r="FQ50" i="2" a="1"/>
  <c r="FP50" i="2" s="1" a="1"/>
  <c r="FQ24" i="2" a="1"/>
  <c r="FP24" i="2" s="1" a="1"/>
  <c r="FQ28" i="2" a="1"/>
  <c r="FP28" i="2" s="1" a="1"/>
  <c r="FQ58" i="2" a="1"/>
  <c r="FP58" i="2" s="1" a="1"/>
  <c r="FQ54" i="2" a="1"/>
  <c r="FP54" i="2" s="1" a="1"/>
  <c r="FQ46" i="2" a="1"/>
  <c r="FP46" i="2" s="1" a="1"/>
  <c r="FQ44" i="2" a="1"/>
  <c r="FP44" i="2" s="1" a="1"/>
  <c r="FQ32" i="2" a="1"/>
  <c r="FP32" i="2" s="1" a="1"/>
  <c r="FQ52" i="2" a="1"/>
  <c r="FP52" i="2" s="1" a="1"/>
  <c r="FQ48" i="2" a="1"/>
  <c r="FP48" i="2" s="1" a="1"/>
  <c r="FQ36" i="2" a="1"/>
  <c r="FP36" i="2" s="1" a="1"/>
  <c r="FQ40" i="2" a="1"/>
  <c r="FP40" i="2" s="1" a="1"/>
  <c r="FQ20" i="2" a="1"/>
  <c r="FP20" i="2" s="1" a="1"/>
  <c r="EI75" i="2"/>
  <c r="EI21" i="2" s="1"/>
  <c r="EI107" i="2"/>
  <c r="EH77" i="2"/>
  <c r="EI77" i="2" s="1"/>
  <c r="FR76" i="2"/>
  <c r="GE76" i="2"/>
  <c r="GK76" i="2"/>
  <c r="GB76" i="2"/>
  <c r="GL76" i="2"/>
  <c r="FV76" i="2"/>
  <c r="GM76" i="2"/>
  <c r="FW76" i="2"/>
  <c r="GG76" i="2"/>
  <c r="FX76" i="2"/>
  <c r="GS76" i="2"/>
  <c r="GR76" i="2"/>
  <c r="GI76" i="2"/>
  <c r="FS76" i="2"/>
  <c r="GC76" i="2"/>
  <c r="GT76" i="2"/>
  <c r="GD76" i="2"/>
  <c r="GN76" i="2"/>
  <c r="FT76" i="2"/>
  <c r="FY76" i="2"/>
  <c r="GP76" i="2"/>
  <c r="GA76" i="2"/>
  <c r="GU76" i="2"/>
  <c r="GH76" i="2"/>
  <c r="FU76" i="2"/>
  <c r="GO76" i="2"/>
  <c r="GF76" i="2"/>
  <c r="FZ76" i="2"/>
  <c r="GQ76" i="2"/>
  <c r="GJ76" i="2"/>
  <c r="EI56" i="2" a="1"/>
  <c r="EI54" i="2" a="1"/>
  <c r="CR33" i="2"/>
  <c r="F34" i="2" s="1"/>
  <c r="G25" i="2"/>
  <c r="EL26" i="2" s="1"/>
  <c r="EL79" i="2" s="1"/>
  <c r="E7" i="3"/>
  <c r="L11" i="3"/>
  <c r="L10" i="3"/>
  <c r="L9" i="3"/>
  <c r="I11" i="3"/>
  <c r="I10" i="3"/>
  <c r="I9" i="3"/>
  <c r="G11" i="3"/>
  <c r="G10" i="3"/>
  <c r="G9" i="3"/>
  <c r="D11" i="3"/>
  <c r="D10" i="3"/>
  <c r="D9" i="3"/>
  <c r="FP78" i="2" l="1"/>
  <c r="FP93" i="2"/>
  <c r="FP133" i="2"/>
  <c r="FP83" i="2"/>
  <c r="FP98" i="2"/>
  <c r="FP103" i="2"/>
  <c r="FP108" i="2"/>
  <c r="FP143" i="2"/>
  <c r="FP158" i="2"/>
  <c r="FP128" i="2"/>
  <c r="FP163" i="2"/>
  <c r="FP168" i="2"/>
  <c r="FP118" i="2"/>
  <c r="FP123" i="2"/>
  <c r="FP153" i="2"/>
  <c r="FP138" i="2"/>
  <c r="FP148" i="2"/>
  <c r="FP88" i="2"/>
  <c r="FP113" i="2"/>
  <c r="EG79" i="2"/>
  <c r="EH79" i="2"/>
  <c r="FP73" i="2"/>
  <c r="EI55" i="2"/>
  <c r="EI53" i="2"/>
  <c r="G27" i="2"/>
  <c r="EL28" i="2" s="1"/>
  <c r="EL81" i="2" s="1"/>
  <c r="CP57" i="2"/>
  <c r="CP59" i="2"/>
  <c r="CP61" i="2"/>
  <c r="CP63" i="2"/>
  <c r="CP65" i="2"/>
  <c r="BX122" i="1"/>
  <c r="BY122" i="1" s="1"/>
  <c r="BX121" i="1"/>
  <c r="BY121" i="1" s="1"/>
  <c r="BX120" i="1"/>
  <c r="BY120" i="1" s="1"/>
  <c r="BX78" i="1"/>
  <c r="BY78" i="1" s="1"/>
  <c r="BX79" i="1"/>
  <c r="BY79" i="1" s="1"/>
  <c r="BX80" i="1"/>
  <c r="BY80" i="1" s="1"/>
  <c r="BX81" i="1"/>
  <c r="BY81" i="1" s="1"/>
  <c r="BX82" i="1"/>
  <c r="BY82" i="1" s="1"/>
  <c r="BX83" i="1"/>
  <c r="BY83" i="1" s="1"/>
  <c r="BX84" i="1"/>
  <c r="BY84" i="1" s="1"/>
  <c r="BX85" i="1"/>
  <c r="BY85" i="1" s="1"/>
  <c r="BX86" i="1"/>
  <c r="BY86" i="1" s="1"/>
  <c r="BX87" i="1"/>
  <c r="BY87" i="1" s="1"/>
  <c r="BX88" i="1"/>
  <c r="BY88" i="1" s="1"/>
  <c r="BX89" i="1"/>
  <c r="BY89" i="1" s="1"/>
  <c r="BX90" i="1"/>
  <c r="BY90" i="1" s="1"/>
  <c r="BX91" i="1"/>
  <c r="BY91" i="1" s="1"/>
  <c r="BX92" i="1"/>
  <c r="BY92" i="1" s="1"/>
  <c r="BX93" i="1"/>
  <c r="BY93" i="1" s="1"/>
  <c r="BX94" i="1"/>
  <c r="BY94" i="1" s="1"/>
  <c r="BX95" i="1"/>
  <c r="BY95" i="1" s="1"/>
  <c r="BX96" i="1"/>
  <c r="BY96" i="1" s="1"/>
  <c r="BX97" i="1"/>
  <c r="BY97" i="1" s="1"/>
  <c r="BX98" i="1"/>
  <c r="BY98" i="1" s="1"/>
  <c r="BX99" i="1"/>
  <c r="BY99" i="1" s="1"/>
  <c r="BX100" i="1"/>
  <c r="BY100" i="1" s="1"/>
  <c r="BX101" i="1"/>
  <c r="BY101" i="1" s="1"/>
  <c r="BX102" i="1"/>
  <c r="BY102" i="1" s="1"/>
  <c r="BX103" i="1"/>
  <c r="BY103" i="1" s="1"/>
  <c r="BX104" i="1"/>
  <c r="BY104" i="1" s="1"/>
  <c r="BX105" i="1"/>
  <c r="BY105" i="1" s="1"/>
  <c r="BX106" i="1"/>
  <c r="BY106" i="1" s="1"/>
  <c r="BX107" i="1"/>
  <c r="BY107" i="1" s="1"/>
  <c r="BX108" i="1"/>
  <c r="BY108" i="1" s="1"/>
  <c r="BX109" i="1"/>
  <c r="BY109" i="1" s="1"/>
  <c r="BX110" i="1"/>
  <c r="BY110" i="1" s="1"/>
  <c r="BX111" i="1"/>
  <c r="BY111" i="1" s="1"/>
  <c r="BX112" i="1"/>
  <c r="BY112" i="1" s="1"/>
  <c r="BX113" i="1"/>
  <c r="BY113" i="1" s="1"/>
  <c r="BX114" i="1"/>
  <c r="BY114" i="1" s="1"/>
  <c r="BX115" i="1"/>
  <c r="BY115" i="1" s="1"/>
  <c r="BX116" i="1"/>
  <c r="BY116" i="1" s="1"/>
  <c r="BX117" i="1"/>
  <c r="BY117" i="1" s="1"/>
  <c r="BX118" i="1"/>
  <c r="BY118" i="1" s="1"/>
  <c r="BX119" i="1"/>
  <c r="BY119" i="1" s="1"/>
  <c r="BX77" i="1"/>
  <c r="BY77" i="1" s="1"/>
  <c r="EI79" i="2" l="1"/>
  <c r="EH81" i="2"/>
  <c r="EG81" i="2"/>
  <c r="EI73" i="2"/>
  <c r="EI19" i="2" s="1"/>
  <c r="EI26" i="2" a="1"/>
  <c r="CR35" i="2"/>
  <c r="F36" i="2" s="1"/>
  <c r="G29" i="2"/>
  <c r="EL30" i="2" s="1"/>
  <c r="EL83" i="2" s="1"/>
  <c r="C43" i="3"/>
  <c r="K5" i="2"/>
  <c r="L5" i="2"/>
  <c r="E5" i="3" s="1"/>
  <c r="EH83" i="2" l="1"/>
  <c r="EG83" i="2"/>
  <c r="EI25" i="2"/>
  <c r="EI28" i="2" a="1"/>
  <c r="G31" i="2"/>
  <c r="EL32" i="2" s="1"/>
  <c r="D43" i="3"/>
  <c r="K8" i="2"/>
  <c r="K7" i="2"/>
  <c r="E12" i="3"/>
  <c r="G8" i="2"/>
  <c r="G7" i="2"/>
  <c r="D8" i="3"/>
  <c r="G8" i="3"/>
  <c r="E13" i="3"/>
  <c r="E6" i="3"/>
  <c r="M7" i="2"/>
  <c r="EI83" i="2" l="1"/>
  <c r="EI30" i="2" a="1"/>
  <c r="EL85" i="2"/>
  <c r="CR37" i="2"/>
  <c r="F38" i="2" s="1"/>
  <c r="G33" i="2"/>
  <c r="EL34" i="2" s="1"/>
  <c r="EL87" i="2" s="1"/>
  <c r="C16" i="3"/>
  <c r="EG87" i="2" l="1"/>
  <c r="EH87" i="2"/>
  <c r="EG85" i="2"/>
  <c r="EH85" i="2"/>
  <c r="EI29" i="2"/>
  <c r="EI32" i="2" a="1"/>
  <c r="G35" i="2"/>
  <c r="EL36" i="2" s="1"/>
  <c r="EL89" i="2" s="1"/>
  <c r="BU5" i="1"/>
  <c r="BU7" i="1"/>
  <c r="BU9" i="1"/>
  <c r="EI87" i="2" l="1"/>
  <c r="EH89" i="2"/>
  <c r="EG89" i="2"/>
  <c r="EI85" i="2"/>
  <c r="EI31" i="2" s="1"/>
  <c r="EI34" i="2" a="1"/>
  <c r="G37" i="2"/>
  <c r="EL38" i="2" s="1"/>
  <c r="EL91" i="2" s="1"/>
  <c r="CR39" i="2"/>
  <c r="F40" i="2" s="1"/>
  <c r="C17" i="3"/>
  <c r="HI63" i="2"/>
  <c r="HI61" i="2"/>
  <c r="HI59" i="2"/>
  <c r="HI67" i="2"/>
  <c r="HI65" i="2"/>
  <c r="CS57" i="2"/>
  <c r="EI89" i="2" l="1"/>
  <c r="EG91" i="2"/>
  <c r="EH91" i="2"/>
  <c r="EI33" i="2"/>
  <c r="EI36" i="2" a="1"/>
  <c r="GW14" i="2"/>
  <c r="HA14" i="2"/>
  <c r="GZ14" i="2"/>
  <c r="G39" i="2"/>
  <c r="EL40" i="2" s="1"/>
  <c r="EL93" i="2" s="1"/>
  <c r="GX14" i="2"/>
  <c r="GY14" i="2"/>
  <c r="C18" i="3"/>
  <c r="CP23" i="2"/>
  <c r="CP25" i="2"/>
  <c r="CP27" i="2"/>
  <c r="CP29" i="2"/>
  <c r="CP31" i="2"/>
  <c r="CP33" i="2"/>
  <c r="CP35" i="2"/>
  <c r="CP37" i="2"/>
  <c r="CP39" i="2"/>
  <c r="CP41" i="2"/>
  <c r="CP43" i="2"/>
  <c r="CP45" i="2"/>
  <c r="CP47" i="2"/>
  <c r="CS47" i="2" s="1"/>
  <c r="CP49" i="2"/>
  <c r="CP51" i="2"/>
  <c r="CP53" i="2"/>
  <c r="CS53" i="2" s="1"/>
  <c r="CP55" i="2"/>
  <c r="CS55" i="2" s="1"/>
  <c r="CP21" i="2"/>
  <c r="CP19" i="2"/>
  <c r="BU9" i="2"/>
  <c r="BV8" i="2"/>
  <c r="S11" i="2" s="1"/>
  <c r="EI91" i="2" l="1"/>
  <c r="EH93" i="2"/>
  <c r="EG93" i="2"/>
  <c r="B1" i="7"/>
  <c r="C10" i="7" s="1"/>
  <c r="O12" i="2"/>
  <c r="H12" i="2"/>
  <c r="P12" i="2"/>
  <c r="Q12" i="2"/>
  <c r="N12" i="2"/>
  <c r="M12" i="2"/>
  <c r="L12" i="2"/>
  <c r="K12" i="2"/>
  <c r="J12" i="2"/>
  <c r="I12" i="2"/>
  <c r="C14" i="2"/>
  <c r="D14" i="2"/>
  <c r="C12" i="2"/>
  <c r="EI35" i="2"/>
  <c r="EI38" i="2" a="1"/>
  <c r="GY12" i="2"/>
  <c r="CS51" i="2"/>
  <c r="CS49" i="2"/>
  <c r="W12" i="2"/>
  <c r="V12" i="2"/>
  <c r="G41" i="2"/>
  <c r="S12" i="2"/>
  <c r="U12" i="2"/>
  <c r="T12" i="2"/>
  <c r="CR41" i="2"/>
  <c r="F42" i="2" s="1"/>
  <c r="X12" i="2"/>
  <c r="D1" i="6"/>
  <c r="CP15" i="2"/>
  <c r="D11" i="1" s="1"/>
  <c r="E11" i="1" s="1"/>
  <c r="B1" i="6"/>
  <c r="C19" i="3"/>
  <c r="BV11" i="2"/>
  <c r="CP17" i="2"/>
  <c r="BV14" i="2"/>
  <c r="BU14" i="2" s="1"/>
  <c r="BV12" i="2" s="1"/>
  <c r="CO15" i="2"/>
  <c r="EI93" i="2" l="1"/>
  <c r="G43" i="2"/>
  <c r="EL44" i="2" s="1"/>
  <c r="EL97" i="2" s="1"/>
  <c r="EL42" i="2"/>
  <c r="EL95" i="2" s="1"/>
  <c r="C11" i="7"/>
  <c r="B4" i="7"/>
  <c r="B5" i="7"/>
  <c r="D5" i="7" s="1"/>
  <c r="E5" i="7" s="1"/>
  <c r="C9" i="7"/>
  <c r="C7" i="7"/>
  <c r="C6" i="7"/>
  <c r="C5" i="7"/>
  <c r="B11" i="7"/>
  <c r="D11" i="7" s="1"/>
  <c r="E11" i="7" s="1"/>
  <c r="B10" i="7"/>
  <c r="D10" i="7" s="1"/>
  <c r="E10" i="7" s="1"/>
  <c r="B9" i="7"/>
  <c r="D9" i="7" s="1"/>
  <c r="E9" i="7" s="1"/>
  <c r="B13" i="7"/>
  <c r="D13" i="7" s="1"/>
  <c r="E13" i="7" s="1"/>
  <c r="B8" i="7"/>
  <c r="D8" i="7" s="1"/>
  <c r="E8" i="7" s="1"/>
  <c r="B12" i="7"/>
  <c r="D12" i="7" s="1"/>
  <c r="E12" i="7" s="1"/>
  <c r="B6" i="7"/>
  <c r="D6" i="7" s="1"/>
  <c r="E6" i="7" s="1"/>
  <c r="C8" i="7"/>
  <c r="C13" i="7"/>
  <c r="B7" i="7"/>
  <c r="D7" i="7" s="1"/>
  <c r="E7" i="7" s="1"/>
  <c r="C4" i="7"/>
  <c r="C12" i="7"/>
  <c r="A489" i="6"/>
  <c r="C491" i="6"/>
  <c r="B496" i="6"/>
  <c r="A31" i="6"/>
  <c r="C33" i="6"/>
  <c r="B38" i="6"/>
  <c r="A43" i="6"/>
  <c r="C45" i="6"/>
  <c r="B50" i="6"/>
  <c r="A55" i="6"/>
  <c r="C57" i="6"/>
  <c r="B62" i="6"/>
  <c r="A67" i="6"/>
  <c r="C69" i="6"/>
  <c r="B74" i="6"/>
  <c r="A79" i="6"/>
  <c r="C81" i="6"/>
  <c r="B86" i="6"/>
  <c r="A91" i="6"/>
  <c r="C93" i="6"/>
  <c r="B98" i="6"/>
  <c r="A103" i="6"/>
  <c r="C105" i="6"/>
  <c r="B110" i="6"/>
  <c r="A115" i="6"/>
  <c r="C117" i="6"/>
  <c r="B122" i="6"/>
  <c r="A127" i="6"/>
  <c r="C129" i="6"/>
  <c r="B134" i="6"/>
  <c r="A139" i="6"/>
  <c r="C141" i="6"/>
  <c r="B146" i="6"/>
  <c r="A151" i="6"/>
  <c r="C153" i="6"/>
  <c r="B158" i="6"/>
  <c r="A163" i="6"/>
  <c r="C165" i="6"/>
  <c r="B170" i="6"/>
  <c r="A175" i="6"/>
  <c r="C177" i="6"/>
  <c r="B182" i="6"/>
  <c r="A187" i="6"/>
  <c r="C189" i="6"/>
  <c r="B194" i="6"/>
  <c r="A199" i="6"/>
  <c r="C201" i="6"/>
  <c r="B206" i="6"/>
  <c r="A211" i="6"/>
  <c r="C213" i="6"/>
  <c r="B218" i="6"/>
  <c r="B489" i="6"/>
  <c r="C494" i="6"/>
  <c r="A497" i="6"/>
  <c r="B32" i="6"/>
  <c r="C37" i="6"/>
  <c r="A40" i="6"/>
  <c r="B45" i="6"/>
  <c r="A48" i="6"/>
  <c r="B53" i="6"/>
  <c r="C58" i="6"/>
  <c r="A61" i="6"/>
  <c r="B66" i="6"/>
  <c r="C71" i="6"/>
  <c r="A74" i="6"/>
  <c r="C79" i="6"/>
  <c r="A82" i="6"/>
  <c r="B87" i="6"/>
  <c r="C92" i="6"/>
  <c r="A95" i="6"/>
  <c r="B100" i="6"/>
  <c r="B108" i="6"/>
  <c r="C113" i="6"/>
  <c r="A116" i="6"/>
  <c r="B121" i="6"/>
  <c r="C126" i="6"/>
  <c r="A129" i="6"/>
  <c r="C134" i="6"/>
  <c r="A137" i="6"/>
  <c r="B142" i="6"/>
  <c r="C147" i="6"/>
  <c r="A150" i="6"/>
  <c r="B155" i="6"/>
  <c r="C160" i="6"/>
  <c r="B163" i="6"/>
  <c r="C168" i="6"/>
  <c r="A171" i="6"/>
  <c r="B176" i="6"/>
  <c r="C181" i="6"/>
  <c r="A184" i="6"/>
  <c r="B189" i="6"/>
  <c r="A192" i="6"/>
  <c r="B197" i="6"/>
  <c r="C202" i="6"/>
  <c r="A205" i="6"/>
  <c r="B210" i="6"/>
  <c r="C215" i="6"/>
  <c r="A218" i="6"/>
  <c r="B223" i="6"/>
  <c r="A228" i="6"/>
  <c r="C230" i="6"/>
  <c r="B235" i="6"/>
  <c r="A240" i="6"/>
  <c r="C242" i="6"/>
  <c r="B247" i="6"/>
  <c r="A252" i="6"/>
  <c r="C254" i="6"/>
  <c r="B259" i="6"/>
  <c r="A264" i="6"/>
  <c r="C266" i="6"/>
  <c r="B271" i="6"/>
  <c r="A276" i="6"/>
  <c r="C278" i="6"/>
  <c r="B283" i="6"/>
  <c r="A288" i="6"/>
  <c r="C290" i="6"/>
  <c r="B295" i="6"/>
  <c r="A300" i="6"/>
  <c r="C302" i="6"/>
  <c r="B307" i="6"/>
  <c r="A312" i="6"/>
  <c r="C314" i="6"/>
  <c r="B319" i="6"/>
  <c r="A324" i="6"/>
  <c r="C326" i="6"/>
  <c r="B331" i="6"/>
  <c r="A336" i="6"/>
  <c r="C338" i="6"/>
  <c r="B343" i="6"/>
  <c r="A348" i="6"/>
  <c r="C350" i="6"/>
  <c r="B355" i="6"/>
  <c r="A360" i="6"/>
  <c r="C362" i="6"/>
  <c r="B367" i="6"/>
  <c r="A372" i="6"/>
  <c r="C374" i="6"/>
  <c r="B379" i="6"/>
  <c r="A384" i="6"/>
  <c r="C386" i="6"/>
  <c r="B391" i="6"/>
  <c r="A396" i="6"/>
  <c r="B492" i="6"/>
  <c r="C497" i="6"/>
  <c r="A500" i="6"/>
  <c r="B35" i="6"/>
  <c r="C40" i="6"/>
  <c r="B43" i="6"/>
  <c r="C48" i="6"/>
  <c r="A51" i="6"/>
  <c r="B56" i="6"/>
  <c r="C61" i="6"/>
  <c r="A64" i="6"/>
  <c r="B69" i="6"/>
  <c r="A72" i="6"/>
  <c r="B77" i="6"/>
  <c r="C82" i="6"/>
  <c r="A85" i="6"/>
  <c r="B90" i="6"/>
  <c r="C95" i="6"/>
  <c r="A98" i="6"/>
  <c r="C103" i="6"/>
  <c r="A106" i="6"/>
  <c r="B111" i="6"/>
  <c r="C116" i="6"/>
  <c r="A119" i="6"/>
  <c r="B124" i="6"/>
  <c r="B132" i="6"/>
  <c r="C137" i="6"/>
  <c r="A140" i="6"/>
  <c r="B145" i="6"/>
  <c r="C150" i="6"/>
  <c r="A153" i="6"/>
  <c r="C158" i="6"/>
  <c r="A161" i="6"/>
  <c r="B166" i="6"/>
  <c r="C171" i="6"/>
  <c r="A174" i="6"/>
  <c r="B179" i="6"/>
  <c r="C184" i="6"/>
  <c r="B187" i="6"/>
  <c r="C192" i="6"/>
  <c r="A195" i="6"/>
  <c r="B200" i="6"/>
  <c r="C205" i="6"/>
  <c r="A208" i="6"/>
  <c r="B213" i="6"/>
  <c r="A216" i="6"/>
  <c r="B221" i="6"/>
  <c r="A226" i="6"/>
  <c r="C228" i="6"/>
  <c r="B233" i="6"/>
  <c r="A238" i="6"/>
  <c r="C490" i="6"/>
  <c r="C493" i="6"/>
  <c r="A33" i="6"/>
  <c r="B36" i="6"/>
  <c r="B39" i="6"/>
  <c r="B42" i="6"/>
  <c r="A58" i="6"/>
  <c r="B61" i="6"/>
  <c r="C64" i="6"/>
  <c r="A77" i="6"/>
  <c r="B80" i="6"/>
  <c r="B83" i="6"/>
  <c r="C86" i="6"/>
  <c r="C89" i="6"/>
  <c r="A96" i="6"/>
  <c r="A99" i="6"/>
  <c r="A102" i="6"/>
  <c r="A105" i="6"/>
  <c r="C108" i="6"/>
  <c r="A124" i="6"/>
  <c r="C127" i="6"/>
  <c r="C130" i="6"/>
  <c r="C133" i="6"/>
  <c r="C136" i="6"/>
  <c r="A143" i="6"/>
  <c r="A146" i="6"/>
  <c r="B149" i="6"/>
  <c r="B152" i="6"/>
  <c r="C155" i="6"/>
  <c r="A168" i="6"/>
  <c r="B171" i="6"/>
  <c r="C174" i="6"/>
  <c r="B190" i="6"/>
  <c r="B193" i="6"/>
  <c r="B196" i="6"/>
  <c r="C199" i="6"/>
  <c r="A209" i="6"/>
  <c r="A212" i="6"/>
  <c r="A215" i="6"/>
  <c r="C218" i="6"/>
  <c r="C224" i="6"/>
  <c r="B227" i="6"/>
  <c r="A230" i="6"/>
  <c r="A233" i="6"/>
  <c r="A236" i="6"/>
  <c r="C241" i="6"/>
  <c r="A244" i="6"/>
  <c r="B249" i="6"/>
  <c r="B257" i="6"/>
  <c r="C262" i="6"/>
  <c r="A265" i="6"/>
  <c r="B270" i="6"/>
  <c r="C275" i="6"/>
  <c r="B499" i="6"/>
  <c r="C36" i="6"/>
  <c r="C43" i="6"/>
  <c r="C53" i="6"/>
  <c r="B60" i="6"/>
  <c r="C63" i="6"/>
  <c r="B67" i="6"/>
  <c r="C70" i="6"/>
  <c r="B84" i="6"/>
  <c r="B91" i="6"/>
  <c r="C94" i="6"/>
  <c r="C101" i="6"/>
  <c r="A108" i="6"/>
  <c r="B115" i="6"/>
  <c r="C118" i="6"/>
  <c r="A122" i="6"/>
  <c r="C125" i="6"/>
  <c r="C132" i="6"/>
  <c r="C142" i="6"/>
  <c r="C149" i="6"/>
  <c r="C156" i="6"/>
  <c r="B173" i="6"/>
  <c r="B180" i="6"/>
  <c r="C183" i="6"/>
  <c r="C187" i="6"/>
  <c r="C197" i="6"/>
  <c r="B204" i="6"/>
  <c r="C207" i="6"/>
  <c r="B211" i="6"/>
  <c r="C214" i="6"/>
  <c r="C221" i="6"/>
  <c r="A231" i="6"/>
  <c r="A234" i="6"/>
  <c r="A237" i="6"/>
  <c r="B240" i="6"/>
  <c r="A243" i="6"/>
  <c r="C251" i="6"/>
  <c r="B254" i="6"/>
  <c r="C257" i="6"/>
  <c r="B260" i="6"/>
  <c r="A263" i="6"/>
  <c r="C274" i="6"/>
  <c r="B277" i="6"/>
  <c r="C282" i="6"/>
  <c r="A285" i="6"/>
  <c r="B290" i="6"/>
  <c r="A293" i="6"/>
  <c r="C492" i="6"/>
  <c r="A496" i="6"/>
  <c r="B500" i="6"/>
  <c r="B37" i="6"/>
  <c r="B41" i="6"/>
  <c r="B52" i="6"/>
  <c r="A56" i="6"/>
  <c r="B63" i="6"/>
  <c r="C67" i="6"/>
  <c r="A71" i="6"/>
  <c r="A75" i="6"/>
  <c r="C78" i="6"/>
  <c r="B82" i="6"/>
  <c r="A97" i="6"/>
  <c r="A101" i="6"/>
  <c r="C104" i="6"/>
  <c r="B112" i="6"/>
  <c r="B123" i="6"/>
  <c r="B127" i="6"/>
  <c r="B138" i="6"/>
  <c r="A157" i="6"/>
  <c r="C164" i="6"/>
  <c r="B168" i="6"/>
  <c r="A172" i="6"/>
  <c r="C179" i="6"/>
  <c r="A183" i="6"/>
  <c r="C186" i="6"/>
  <c r="C194" i="6"/>
  <c r="B198" i="6"/>
  <c r="C209" i="6"/>
  <c r="A213" i="6"/>
  <c r="B220" i="6"/>
  <c r="A224" i="6"/>
  <c r="C227" i="6"/>
  <c r="B231" i="6"/>
  <c r="C234" i="6"/>
  <c r="A241" i="6"/>
  <c r="B244" i="6"/>
  <c r="C247" i="6"/>
  <c r="C250" i="6"/>
  <c r="C253" i="6"/>
  <c r="C256" i="6"/>
  <c r="A266" i="6"/>
  <c r="B269" i="6"/>
  <c r="B272" i="6"/>
  <c r="B275" i="6"/>
  <c r="B278" i="6"/>
  <c r="B281" i="6"/>
  <c r="A284" i="6"/>
  <c r="C292" i="6"/>
  <c r="C295" i="6"/>
  <c r="B298" i="6"/>
  <c r="C303" i="6"/>
  <c r="A306" i="6"/>
  <c r="B311" i="6"/>
  <c r="C498" i="6"/>
  <c r="C32" i="6"/>
  <c r="A41" i="6"/>
  <c r="B49" i="6"/>
  <c r="A53" i="6"/>
  <c r="B57" i="6"/>
  <c r="C65" i="6"/>
  <c r="B73" i="6"/>
  <c r="A90" i="6"/>
  <c r="A94" i="6"/>
  <c r="C98" i="6"/>
  <c r="B102" i="6"/>
  <c r="C106" i="6"/>
  <c r="A110" i="6"/>
  <c r="B114" i="6"/>
  <c r="B118" i="6"/>
  <c r="B126" i="6"/>
  <c r="A135" i="6"/>
  <c r="B143" i="6"/>
  <c r="A147" i="6"/>
  <c r="B151" i="6"/>
  <c r="B159" i="6"/>
  <c r="C163" i="6"/>
  <c r="B167" i="6"/>
  <c r="C175" i="6"/>
  <c r="A188" i="6"/>
  <c r="A200" i="6"/>
  <c r="A204" i="6"/>
  <c r="B208" i="6"/>
  <c r="B212" i="6"/>
  <c r="C216" i="6"/>
  <c r="A220" i="6"/>
  <c r="B224" i="6"/>
  <c r="B228" i="6"/>
  <c r="C235" i="6"/>
  <c r="B239" i="6"/>
  <c r="A246" i="6"/>
  <c r="C249" i="6"/>
  <c r="A256" i="6"/>
  <c r="C259" i="6"/>
  <c r="B263" i="6"/>
  <c r="B273" i="6"/>
  <c r="A286" i="6"/>
  <c r="A289" i="6"/>
  <c r="A292" i="6"/>
  <c r="A295" i="6"/>
  <c r="C298" i="6"/>
  <c r="B301" i="6"/>
  <c r="A304" i="6"/>
  <c r="C315" i="6"/>
  <c r="A318" i="6"/>
  <c r="B323" i="6"/>
  <c r="C328" i="6"/>
  <c r="A331" i="6"/>
  <c r="C336" i="6"/>
  <c r="A339" i="6"/>
  <c r="B344" i="6"/>
  <c r="C349" i="6"/>
  <c r="A352" i="6"/>
  <c r="B357" i="6"/>
  <c r="B365" i="6"/>
  <c r="C370" i="6"/>
  <c r="A373" i="6"/>
  <c r="B378" i="6"/>
  <c r="C383" i="6"/>
  <c r="A386" i="6"/>
  <c r="C391" i="6"/>
  <c r="A394" i="6"/>
  <c r="A399" i="6"/>
  <c r="C401" i="6"/>
  <c r="B406" i="6"/>
  <c r="A411" i="6"/>
  <c r="C413" i="6"/>
  <c r="B418" i="6"/>
  <c r="A423" i="6"/>
  <c r="C425" i="6"/>
  <c r="B430" i="6"/>
  <c r="A435" i="6"/>
  <c r="C437" i="6"/>
  <c r="B442" i="6"/>
  <c r="A447" i="6"/>
  <c r="C449" i="6"/>
  <c r="B454" i="6"/>
  <c r="A459" i="6"/>
  <c r="C461" i="6"/>
  <c r="B466" i="6"/>
  <c r="A471" i="6"/>
  <c r="C473" i="6"/>
  <c r="B478" i="6"/>
  <c r="A483" i="6"/>
  <c r="C485" i="6"/>
  <c r="A495" i="6"/>
  <c r="B33" i="6"/>
  <c r="A37" i="6"/>
  <c r="C41" i="6"/>
  <c r="A45" i="6"/>
  <c r="C49" i="6"/>
  <c r="C73" i="6"/>
  <c r="A78" i="6"/>
  <c r="A86" i="6"/>
  <c r="C90" i="6"/>
  <c r="B94" i="6"/>
  <c r="B498" i="6"/>
  <c r="A34" i="6"/>
  <c r="B58" i="6"/>
  <c r="A68" i="6"/>
  <c r="C77" i="6"/>
  <c r="C87" i="6"/>
  <c r="A92" i="6"/>
  <c r="C115" i="6"/>
  <c r="A120" i="6"/>
  <c r="C124" i="6"/>
  <c r="C128" i="6"/>
  <c r="A133" i="6"/>
  <c r="A155" i="6"/>
  <c r="B164" i="6"/>
  <c r="A169" i="6"/>
  <c r="A173" i="6"/>
  <c r="A182" i="6"/>
  <c r="A186" i="6"/>
  <c r="A191" i="6"/>
  <c r="C195" i="6"/>
  <c r="C204" i="6"/>
  <c r="C217" i="6"/>
  <c r="B222" i="6"/>
  <c r="B226" i="6"/>
  <c r="B234" i="6"/>
  <c r="C238" i="6"/>
  <c r="A242" i="6"/>
  <c r="B253" i="6"/>
  <c r="A257" i="6"/>
  <c r="C264" i="6"/>
  <c r="A268" i="6"/>
  <c r="A279" i="6"/>
  <c r="B282" i="6"/>
  <c r="B289" i="6"/>
  <c r="B296" i="6"/>
  <c r="B299" i="6"/>
  <c r="B302" i="6"/>
  <c r="C305" i="6"/>
  <c r="C308" i="6"/>
  <c r="C320" i="6"/>
  <c r="C323" i="6"/>
  <c r="B326" i="6"/>
  <c r="B329" i="6"/>
  <c r="A332" i="6"/>
  <c r="C340" i="6"/>
  <c r="C343" i="6"/>
  <c r="B346" i="6"/>
  <c r="A349" i="6"/>
  <c r="C363" i="6"/>
  <c r="B366" i="6"/>
  <c r="A369" i="6"/>
  <c r="C380" i="6"/>
  <c r="B383" i="6"/>
  <c r="B386" i="6"/>
  <c r="B389" i="6"/>
  <c r="A392" i="6"/>
  <c r="B400" i="6"/>
  <c r="C405" i="6"/>
  <c r="A408" i="6"/>
  <c r="B413" i="6"/>
  <c r="A416" i="6"/>
  <c r="B421" i="6"/>
  <c r="C426" i="6"/>
  <c r="A429" i="6"/>
  <c r="B434" i="6"/>
  <c r="C439" i="6"/>
  <c r="A442" i="6"/>
  <c r="C447" i="6"/>
  <c r="A450" i="6"/>
  <c r="B455" i="6"/>
  <c r="C460" i="6"/>
  <c r="A463" i="6"/>
  <c r="B468" i="6"/>
  <c r="B476" i="6"/>
  <c r="C481" i="6"/>
  <c r="A484" i="6"/>
  <c r="C489" i="6"/>
  <c r="A494" i="6"/>
  <c r="A499" i="6"/>
  <c r="B34" i="6"/>
  <c r="B48" i="6"/>
  <c r="A54" i="6"/>
  <c r="A63" i="6"/>
  <c r="B68" i="6"/>
  <c r="B78" i="6"/>
  <c r="A83" i="6"/>
  <c r="A88" i="6"/>
  <c r="B92" i="6"/>
  <c r="B97" i="6"/>
  <c r="C102" i="6"/>
  <c r="A111" i="6"/>
  <c r="B120" i="6"/>
  <c r="B133" i="6"/>
  <c r="A142" i="6"/>
  <c r="C151" i="6"/>
  <c r="A156" i="6"/>
  <c r="A160" i="6"/>
  <c r="B169" i="6"/>
  <c r="C173" i="6"/>
  <c r="B494" i="6"/>
  <c r="B47" i="6"/>
  <c r="B54" i="6"/>
  <c r="C59" i="6"/>
  <c r="B65" i="6"/>
  <c r="B71" i="6"/>
  <c r="B76" i="6"/>
  <c r="C83" i="6"/>
  <c r="A100" i="6"/>
  <c r="C111" i="6"/>
  <c r="A138" i="6"/>
  <c r="C148" i="6"/>
  <c r="A154" i="6"/>
  <c r="A159" i="6"/>
  <c r="A165" i="6"/>
  <c r="A170" i="6"/>
  <c r="B175" i="6"/>
  <c r="C180" i="6"/>
  <c r="B185" i="6"/>
  <c r="B199" i="6"/>
  <c r="B214" i="6"/>
  <c r="B219" i="6"/>
  <c r="C223" i="6"/>
  <c r="C232" i="6"/>
  <c r="B241" i="6"/>
  <c r="B245" i="6"/>
  <c r="A249" i="6"/>
  <c r="C261" i="6"/>
  <c r="C265" i="6"/>
  <c r="C281" i="6"/>
  <c r="B292" i="6"/>
  <c r="C296" i="6"/>
  <c r="A303" i="6"/>
  <c r="C306" i="6"/>
  <c r="A310" i="6"/>
  <c r="B313" i="6"/>
  <c r="C316" i="6"/>
  <c r="A329" i="6"/>
  <c r="B332" i="6"/>
  <c r="B335" i="6"/>
  <c r="B338" i="6"/>
  <c r="C341" i="6"/>
  <c r="B360" i="6"/>
  <c r="B363" i="6"/>
  <c r="C366" i="6"/>
  <c r="C369" i="6"/>
  <c r="A382" i="6"/>
  <c r="A385" i="6"/>
  <c r="A388" i="6"/>
  <c r="A391" i="6"/>
  <c r="C394" i="6"/>
  <c r="C397" i="6"/>
  <c r="C400" i="6"/>
  <c r="B403" i="6"/>
  <c r="A406" i="6"/>
  <c r="A409" i="6"/>
  <c r="C417" i="6"/>
  <c r="B420" i="6"/>
  <c r="B423" i="6"/>
  <c r="A426" i="6"/>
  <c r="C440" i="6"/>
  <c r="B443" i="6"/>
  <c r="A446" i="6"/>
  <c r="C457" i="6"/>
  <c r="B460" i="6"/>
  <c r="B463" i="6"/>
  <c r="A466" i="6"/>
  <c r="A469" i="6"/>
  <c r="C477" i="6"/>
  <c r="B480" i="6"/>
  <c r="B483" i="6"/>
  <c r="A486" i="6"/>
  <c r="B495" i="6"/>
  <c r="A36" i="6"/>
  <c r="A42" i="6"/>
  <c r="C47" i="6"/>
  <c r="C54" i="6"/>
  <c r="A60" i="6"/>
  <c r="C76" i="6"/>
  <c r="A89" i="6"/>
  <c r="B95" i="6"/>
  <c r="C100" i="6"/>
  <c r="B106" i="6"/>
  <c r="A112" i="6"/>
  <c r="A117" i="6"/>
  <c r="C122" i="6"/>
  <c r="C138" i="6"/>
  <c r="A144" i="6"/>
  <c r="B154" i="6"/>
  <c r="C159" i="6"/>
  <c r="B165" i="6"/>
  <c r="C170" i="6"/>
  <c r="C185" i="6"/>
  <c r="A190" i="6"/>
  <c r="B195" i="6"/>
  <c r="C200" i="6"/>
  <c r="C219" i="6"/>
  <c r="B237" i="6"/>
  <c r="C245" i="6"/>
  <c r="A250" i="6"/>
  <c r="A258" i="6"/>
  <c r="C39" i="6"/>
  <c r="C46" i="6"/>
  <c r="C52" i="6"/>
  <c r="B75" i="6"/>
  <c r="A81" i="6"/>
  <c r="C88" i="6"/>
  <c r="B96" i="6"/>
  <c r="B103" i="6"/>
  <c r="B109" i="6"/>
  <c r="C121" i="6"/>
  <c r="B128" i="6"/>
  <c r="B135" i="6"/>
  <c r="B161" i="6"/>
  <c r="A185" i="6"/>
  <c r="B191" i="6"/>
  <c r="B202" i="6"/>
  <c r="A214" i="6"/>
  <c r="C225" i="6"/>
  <c r="B236" i="6"/>
  <c r="C246" i="6"/>
  <c r="A251" i="6"/>
  <c r="B265" i="6"/>
  <c r="C270" i="6"/>
  <c r="A283" i="6"/>
  <c r="A287" i="6"/>
  <c r="A291" i="6"/>
  <c r="B306" i="6"/>
  <c r="B310" i="6"/>
  <c r="B317" i="6"/>
  <c r="B324" i="6"/>
  <c r="C327" i="6"/>
  <c r="B334" i="6"/>
  <c r="C337" i="6"/>
  <c r="A341" i="6"/>
  <c r="C344" i="6"/>
  <c r="B351" i="6"/>
  <c r="C354" i="6"/>
  <c r="B358" i="6"/>
  <c r="C361" i="6"/>
  <c r="B368" i="6"/>
  <c r="C371" i="6"/>
  <c r="A375" i="6"/>
  <c r="C378" i="6"/>
  <c r="B385" i="6"/>
  <c r="C388" i="6"/>
  <c r="B392" i="6"/>
  <c r="C395" i="6"/>
  <c r="B411" i="6"/>
  <c r="B414" i="6"/>
  <c r="B417" i="6"/>
  <c r="C420" i="6"/>
  <c r="A433" i="6"/>
  <c r="A436" i="6"/>
  <c r="A439" i="6"/>
  <c r="C442" i="6"/>
  <c r="C445" i="6"/>
  <c r="C448" i="6"/>
  <c r="C451" i="6"/>
  <c r="A458" i="6"/>
  <c r="A461" i="6"/>
  <c r="B464" i="6"/>
  <c r="B467" i="6"/>
  <c r="B470" i="6"/>
  <c r="B473" i="6"/>
  <c r="C496" i="6"/>
  <c r="A32" i="6"/>
  <c r="C68" i="6"/>
  <c r="C75" i="6"/>
  <c r="B81" i="6"/>
  <c r="B89" i="6"/>
  <c r="C96" i="6"/>
  <c r="C109" i="6"/>
  <c r="B116" i="6"/>
  <c r="B129" i="6"/>
  <c r="C135" i="6"/>
  <c r="A141" i="6"/>
  <c r="A148" i="6"/>
  <c r="C154" i="6"/>
  <c r="C161" i="6"/>
  <c r="A167" i="6"/>
  <c r="A179" i="6"/>
  <c r="C191" i="6"/>
  <c r="A197" i="6"/>
  <c r="A203" i="6"/>
  <c r="C208" i="6"/>
  <c r="C220" i="6"/>
  <c r="C231" i="6"/>
  <c r="C236" i="6"/>
  <c r="B251" i="6"/>
  <c r="A261" i="6"/>
  <c r="B266" i="6"/>
  <c r="B279" i="6"/>
  <c r="C283" i="6"/>
  <c r="B287" i="6"/>
  <c r="B291" i="6"/>
  <c r="A299" i="6"/>
  <c r="C310" i="6"/>
  <c r="A314" i="6"/>
  <c r="C317" i="6"/>
  <c r="A321" i="6"/>
  <c r="C324" i="6"/>
  <c r="C334" i="6"/>
  <c r="B341" i="6"/>
  <c r="B348" i="6"/>
  <c r="C351" i="6"/>
  <c r="A355" i="6"/>
  <c r="C358" i="6"/>
  <c r="A365" i="6"/>
  <c r="C368" i="6"/>
  <c r="B375" i="6"/>
  <c r="B382" i="6"/>
  <c r="C385" i="6"/>
  <c r="A389" i="6"/>
  <c r="C392" i="6"/>
  <c r="A402" i="6"/>
  <c r="A405" i="6"/>
  <c r="B408" i="6"/>
  <c r="C411" i="6"/>
  <c r="C414" i="6"/>
  <c r="A424" i="6"/>
  <c r="A427" i="6"/>
  <c r="A430" i="6"/>
  <c r="B433" i="6"/>
  <c r="B436" i="6"/>
  <c r="B439" i="6"/>
  <c r="A452" i="6"/>
  <c r="A455" i="6"/>
  <c r="B458" i="6"/>
  <c r="B461" i="6"/>
  <c r="C464" i="6"/>
  <c r="C467" i="6"/>
  <c r="C470" i="6"/>
  <c r="B486" i="6"/>
  <c r="A490" i="6"/>
  <c r="B40" i="6"/>
  <c r="A47" i="6"/>
  <c r="B55" i="6"/>
  <c r="A62" i="6"/>
  <c r="A123" i="6"/>
  <c r="B141" i="6"/>
  <c r="B148" i="6"/>
  <c r="C167" i="6"/>
  <c r="B174" i="6"/>
  <c r="A180" i="6"/>
  <c r="B192" i="6"/>
  <c r="B203" i="6"/>
  <c r="B209" i="6"/>
  <c r="B215" i="6"/>
  <c r="A221" i="6"/>
  <c r="C226" i="6"/>
  <c r="B242" i="6"/>
  <c r="A247" i="6"/>
  <c r="B256" i="6"/>
  <c r="B261" i="6"/>
  <c r="A275" i="6"/>
  <c r="C279" i="6"/>
  <c r="C287" i="6"/>
  <c r="C291" i="6"/>
  <c r="C299" i="6"/>
  <c r="B303" i="6"/>
  <c r="A307" i="6"/>
  <c r="B314" i="6"/>
  <c r="B321" i="6"/>
  <c r="C331" i="6"/>
  <c r="A338" i="6"/>
  <c r="A345" i="6"/>
  <c r="C348" i="6"/>
  <c r="C355" i="6"/>
  <c r="C365" i="6"/>
  <c r="B372" i="6"/>
  <c r="C375" i="6"/>
  <c r="A379" i="6"/>
  <c r="C382" i="6"/>
  <c r="C389" i="6"/>
  <c r="B399" i="6"/>
  <c r="B402" i="6"/>
  <c r="B405" i="6"/>
  <c r="C408" i="6"/>
  <c r="A421" i="6"/>
  <c r="B424" i="6"/>
  <c r="B427" i="6"/>
  <c r="C430" i="6"/>
  <c r="C433" i="6"/>
  <c r="C436" i="6"/>
  <c r="A449" i="6"/>
  <c r="B452" i="6"/>
  <c r="C455" i="6"/>
  <c r="C458" i="6"/>
  <c r="A474" i="6"/>
  <c r="A477" i="6"/>
  <c r="A480" i="6"/>
  <c r="C483" i="6"/>
  <c r="C486" i="6"/>
  <c r="B490" i="6"/>
  <c r="B497" i="6"/>
  <c r="C34" i="6"/>
  <c r="A49" i="6"/>
  <c r="C55" i="6"/>
  <c r="C62" i="6"/>
  <c r="A69" i="6"/>
  <c r="A84" i="6"/>
  <c r="C97" i="6"/>
  <c r="A104" i="6"/>
  <c r="B117" i="6"/>
  <c r="C123" i="6"/>
  <c r="A130" i="6"/>
  <c r="A136" i="6"/>
  <c r="A498" i="6"/>
  <c r="C38" i="6"/>
  <c r="C50" i="6"/>
  <c r="B59" i="6"/>
  <c r="C80" i="6"/>
  <c r="B131" i="6"/>
  <c r="C140" i="6"/>
  <c r="C157" i="6"/>
  <c r="A166" i="6"/>
  <c r="A189" i="6"/>
  <c r="C198" i="6"/>
  <c r="C206" i="6"/>
  <c r="A222" i="6"/>
  <c r="A229" i="6"/>
  <c r="A235" i="6"/>
  <c r="B243" i="6"/>
  <c r="C248" i="6"/>
  <c r="B255" i="6"/>
  <c r="B262" i="6"/>
  <c r="B268" i="6"/>
  <c r="A274" i="6"/>
  <c r="B280" i="6"/>
  <c r="B285" i="6"/>
  <c r="A301" i="6"/>
  <c r="A311" i="6"/>
  <c r="A320" i="6"/>
  <c r="A325" i="6"/>
  <c r="C333" i="6"/>
  <c r="B347" i="6"/>
  <c r="C352" i="6"/>
  <c r="C356" i="6"/>
  <c r="A361" i="6"/>
  <c r="B370" i="6"/>
  <c r="B374" i="6"/>
  <c r="A393" i="6"/>
  <c r="B397" i="6"/>
  <c r="B401" i="6"/>
  <c r="C418" i="6"/>
  <c r="B422" i="6"/>
  <c r="B426" i="6"/>
  <c r="C443" i="6"/>
  <c r="B447" i="6"/>
  <c r="A451" i="6"/>
  <c r="A468" i="6"/>
  <c r="B472" i="6"/>
  <c r="A476" i="6"/>
  <c r="C488" i="6"/>
  <c r="C499" i="6"/>
  <c r="A39" i="6"/>
  <c r="C60" i="6"/>
  <c r="B72" i="6"/>
  <c r="A93" i="6"/>
  <c r="A113" i="6"/>
  <c r="A121" i="6"/>
  <c r="C131" i="6"/>
  <c r="B150" i="6"/>
  <c r="C166" i="6"/>
  <c r="A176" i="6"/>
  <c r="C190" i="6"/>
  <c r="C222" i="6"/>
  <c r="B229" i="6"/>
  <c r="C243" i="6"/>
  <c r="C255" i="6"/>
  <c r="C268" i="6"/>
  <c r="B274" i="6"/>
  <c r="C280" i="6"/>
  <c r="C285" i="6"/>
  <c r="C301" i="6"/>
  <c r="C311" i="6"/>
  <c r="A316" i="6"/>
  <c r="B320" i="6"/>
  <c r="B325" i="6"/>
  <c r="A334" i="6"/>
  <c r="B339" i="6"/>
  <c r="A343" i="6"/>
  <c r="C347" i="6"/>
  <c r="B361" i="6"/>
  <c r="A366" i="6"/>
  <c r="B384" i="6"/>
  <c r="B388" i="6"/>
  <c r="B393" i="6"/>
  <c r="C406" i="6"/>
  <c r="A410" i="6"/>
  <c r="A414" i="6"/>
  <c r="C422" i="6"/>
  <c r="A431" i="6"/>
  <c r="B435" i="6"/>
  <c r="B451" i="6"/>
  <c r="A456" i="6"/>
  <c r="A464" i="6"/>
  <c r="C468" i="6"/>
  <c r="C472" i="6"/>
  <c r="C476" i="6"/>
  <c r="A481" i="6"/>
  <c r="A491" i="6"/>
  <c r="C500" i="6"/>
  <c r="B51" i="6"/>
  <c r="C72" i="6"/>
  <c r="C84" i="6"/>
  <c r="B93" i="6"/>
  <c r="B104" i="6"/>
  <c r="B113" i="6"/>
  <c r="A132" i="6"/>
  <c r="A158" i="6"/>
  <c r="C176" i="6"/>
  <c r="B183" i="6"/>
  <c r="C229" i="6"/>
  <c r="C237" i="6"/>
  <c r="B250" i="6"/>
  <c r="C263" i="6"/>
  <c r="A269" i="6"/>
  <c r="B286" i="6"/>
  <c r="A297" i="6"/>
  <c r="C307" i="6"/>
  <c r="B316" i="6"/>
  <c r="C321" i="6"/>
  <c r="C325" i="6"/>
  <c r="A330" i="6"/>
  <c r="A335" i="6"/>
  <c r="C339" i="6"/>
  <c r="A353" i="6"/>
  <c r="A357" i="6"/>
  <c r="A362" i="6"/>
  <c r="A376" i="6"/>
  <c r="A380" i="6"/>
  <c r="C384" i="6"/>
  <c r="C393" i="6"/>
  <c r="A398" i="6"/>
  <c r="C402" i="6"/>
  <c r="B410" i="6"/>
  <c r="A415" i="6"/>
  <c r="A419" i="6"/>
  <c r="C427" i="6"/>
  <c r="B431" i="6"/>
  <c r="C435" i="6"/>
  <c r="A440" i="6"/>
  <c r="C452" i="6"/>
  <c r="B456" i="6"/>
  <c r="A460" i="6"/>
  <c r="B477" i="6"/>
  <c r="B481" i="6"/>
  <c r="A485" i="6"/>
  <c r="B491" i="6"/>
  <c r="B31" i="6"/>
  <c r="C42" i="6"/>
  <c r="C51" i="6"/>
  <c r="A73" i="6"/>
  <c r="A125" i="6"/>
  <c r="C143" i="6"/>
  <c r="A177" i="6"/>
  <c r="B184" i="6"/>
  <c r="A207" i="6"/>
  <c r="B216" i="6"/>
  <c r="B238" i="6"/>
  <c r="C269" i="6"/>
  <c r="B276" i="6"/>
  <c r="A281" i="6"/>
  <c r="C286" i="6"/>
  <c r="B297" i="6"/>
  <c r="B312" i="6"/>
  <c r="A326" i="6"/>
  <c r="B330" i="6"/>
  <c r="C335" i="6"/>
  <c r="B353" i="6"/>
  <c r="C357" i="6"/>
  <c r="B362" i="6"/>
  <c r="A371" i="6"/>
  <c r="B376" i="6"/>
  <c r="B380" i="6"/>
  <c r="B398" i="6"/>
  <c r="C410" i="6"/>
  <c r="B415" i="6"/>
  <c r="B419" i="6"/>
  <c r="C431" i="6"/>
  <c r="B440" i="6"/>
  <c r="A444" i="6"/>
  <c r="A448" i="6"/>
  <c r="C456" i="6"/>
  <c r="A465" i="6"/>
  <c r="B469" i="6"/>
  <c r="B485" i="6"/>
  <c r="C31" i="6"/>
  <c r="B64" i="6"/>
  <c r="C74" i="6"/>
  <c r="B85" i="6"/>
  <c r="B105" i="6"/>
  <c r="A114" i="6"/>
  <c r="B125" i="6"/>
  <c r="B144" i="6"/>
  <c r="B160" i="6"/>
  <c r="C169" i="6"/>
  <c r="B177" i="6"/>
  <c r="A193" i="6"/>
  <c r="A201" i="6"/>
  <c r="B207" i="6"/>
  <c r="A223" i="6"/>
  <c r="A492" i="6"/>
  <c r="A76" i="6"/>
  <c r="A109" i="6"/>
  <c r="A126" i="6"/>
  <c r="C144" i="6"/>
  <c r="A198" i="6"/>
  <c r="B225" i="6"/>
  <c r="B246" i="6"/>
  <c r="A255" i="6"/>
  <c r="C273" i="6"/>
  <c r="A290" i="6"/>
  <c r="B305" i="6"/>
  <c r="C313" i="6"/>
  <c r="B327" i="6"/>
  <c r="B333" i="6"/>
  <c r="A347" i="6"/>
  <c r="B354" i="6"/>
  <c r="A368" i="6"/>
  <c r="A374" i="6"/>
  <c r="C381" i="6"/>
  <c r="A401" i="6"/>
  <c r="C438" i="6"/>
  <c r="A470" i="6"/>
  <c r="B488" i="6"/>
  <c r="A38" i="6"/>
  <c r="C110" i="6"/>
  <c r="B157" i="6"/>
  <c r="B258" i="6"/>
  <c r="A322" i="6"/>
  <c r="A342" i="6"/>
  <c r="A390" i="6"/>
  <c r="A428" i="6"/>
  <c r="A453" i="6"/>
  <c r="B471" i="6"/>
  <c r="A44" i="6"/>
  <c r="B300" i="6"/>
  <c r="B322" i="6"/>
  <c r="B369" i="6"/>
  <c r="C396" i="6"/>
  <c r="B409" i="6"/>
  <c r="B428" i="6"/>
  <c r="B453" i="6"/>
  <c r="C465" i="6"/>
  <c r="A478" i="6"/>
  <c r="B44" i="6"/>
  <c r="A217" i="6"/>
  <c r="A248" i="6"/>
  <c r="C267" i="6"/>
  <c r="B308" i="6"/>
  <c r="C322" i="6"/>
  <c r="B336" i="6"/>
  <c r="A356" i="6"/>
  <c r="A383" i="6"/>
  <c r="C409" i="6"/>
  <c r="A434" i="6"/>
  <c r="B459" i="6"/>
  <c r="C478" i="6"/>
  <c r="C44" i="6"/>
  <c r="C203" i="6"/>
  <c r="A350" i="6"/>
  <c r="A404" i="6"/>
  <c r="A422" i="6"/>
  <c r="B441" i="6"/>
  <c r="C466" i="6"/>
  <c r="A46" i="6"/>
  <c r="A66" i="6"/>
  <c r="C85" i="6"/>
  <c r="B136" i="6"/>
  <c r="A149" i="6"/>
  <c r="C193" i="6"/>
  <c r="C240" i="6"/>
  <c r="A271" i="6"/>
  <c r="B318" i="6"/>
  <c r="A337" i="6"/>
  <c r="C372" i="6"/>
  <c r="A412" i="6"/>
  <c r="B449" i="6"/>
  <c r="B479" i="6"/>
  <c r="C345" i="6"/>
  <c r="A417" i="6"/>
  <c r="A437" i="6"/>
  <c r="C454" i="6"/>
  <c r="C474" i="6"/>
  <c r="B181" i="6"/>
  <c r="C288" i="6"/>
  <c r="B359" i="6"/>
  <c r="C379" i="6"/>
  <c r="A418" i="6"/>
  <c r="C480" i="6"/>
  <c r="A70" i="6"/>
  <c r="C272" i="6"/>
  <c r="C304" i="6"/>
  <c r="A346" i="6"/>
  <c r="C373" i="6"/>
  <c r="B394" i="6"/>
  <c r="A425" i="6"/>
  <c r="C424" i="6"/>
  <c r="A206" i="6"/>
  <c r="A50" i="6"/>
  <c r="A194" i="6"/>
  <c r="A262" i="6"/>
  <c r="B304" i="6"/>
  <c r="B352" i="6"/>
  <c r="C412" i="6"/>
  <c r="A35" i="6"/>
  <c r="B153" i="6"/>
  <c r="A253" i="6"/>
  <c r="C312" i="6"/>
  <c r="C359" i="6"/>
  <c r="A400" i="6"/>
  <c r="C419" i="6"/>
  <c r="C56" i="6"/>
  <c r="C91" i="6"/>
  <c r="B140" i="6"/>
  <c r="B186" i="6"/>
  <c r="C196" i="6"/>
  <c r="C211" i="6"/>
  <c r="A225" i="6"/>
  <c r="A245" i="6"/>
  <c r="A273" i="6"/>
  <c r="A282" i="6"/>
  <c r="A298" i="6"/>
  <c r="A305" i="6"/>
  <c r="A313" i="6"/>
  <c r="C319" i="6"/>
  <c r="A327" i="6"/>
  <c r="A333" i="6"/>
  <c r="B340" i="6"/>
  <c r="A354" i="6"/>
  <c r="C360" i="6"/>
  <c r="B381" i="6"/>
  <c r="C387" i="6"/>
  <c r="A395" i="6"/>
  <c r="C407" i="6"/>
  <c r="A413" i="6"/>
  <c r="C432" i="6"/>
  <c r="B438" i="6"/>
  <c r="A445" i="6"/>
  <c r="B457" i="6"/>
  <c r="C475" i="6"/>
  <c r="B482" i="6"/>
  <c r="A488" i="6"/>
  <c r="B395" i="6"/>
  <c r="A420" i="6"/>
  <c r="B445" i="6"/>
  <c r="C463" i="6"/>
  <c r="C482" i="6"/>
  <c r="A57" i="6"/>
  <c r="B172" i="6"/>
  <c r="B201" i="6"/>
  <c r="A267" i="6"/>
  <c r="C276" i="6"/>
  <c r="B293" i="6"/>
  <c r="A328" i="6"/>
  <c r="B349" i="6"/>
  <c r="C376" i="6"/>
  <c r="B396" i="6"/>
  <c r="A403" i="6"/>
  <c r="C415" i="6"/>
  <c r="C421" i="6"/>
  <c r="B446" i="6"/>
  <c r="B465" i="6"/>
  <c r="A493" i="6"/>
  <c r="C112" i="6"/>
  <c r="A128" i="6"/>
  <c r="A145" i="6"/>
  <c r="A162" i="6"/>
  <c r="C172" i="6"/>
  <c r="B188" i="6"/>
  <c r="C212" i="6"/>
  <c r="A239" i="6"/>
  <c r="C258" i="6"/>
  <c r="B267" i="6"/>
  <c r="B284" i="6"/>
  <c r="C293" i="6"/>
  <c r="A308" i="6"/>
  <c r="A315" i="6"/>
  <c r="B328" i="6"/>
  <c r="B342" i="6"/>
  <c r="A363" i="6"/>
  <c r="B390" i="6"/>
  <c r="C403" i="6"/>
  <c r="C446" i="6"/>
  <c r="C471" i="6"/>
  <c r="B493" i="6"/>
  <c r="A59" i="6"/>
  <c r="B79" i="6"/>
  <c r="B99" i="6"/>
  <c r="C114" i="6"/>
  <c r="B130" i="6"/>
  <c r="C145" i="6"/>
  <c r="B162" i="6"/>
  <c r="C188" i="6"/>
  <c r="A202" i="6"/>
  <c r="A227" i="6"/>
  <c r="C239" i="6"/>
  <c r="A277" i="6"/>
  <c r="C284" i="6"/>
  <c r="C300" i="6"/>
  <c r="B315" i="6"/>
  <c r="C342" i="6"/>
  <c r="A377" i="6"/>
  <c r="C390" i="6"/>
  <c r="B416" i="6"/>
  <c r="C428" i="6"/>
  <c r="A441" i="6"/>
  <c r="C453" i="6"/>
  <c r="B484" i="6"/>
  <c r="C495" i="6"/>
  <c r="C99" i="6"/>
  <c r="A131" i="6"/>
  <c r="C146" i="6"/>
  <c r="C162" i="6"/>
  <c r="A178" i="6"/>
  <c r="B217" i="6"/>
  <c r="B248" i="6"/>
  <c r="C277" i="6"/>
  <c r="C329" i="6"/>
  <c r="B356" i="6"/>
  <c r="A370" i="6"/>
  <c r="B377" i="6"/>
  <c r="A397" i="6"/>
  <c r="C416" i="6"/>
  <c r="C434" i="6"/>
  <c r="C459" i="6"/>
  <c r="A472" i="6"/>
  <c r="C484" i="6"/>
  <c r="A65" i="6"/>
  <c r="A80" i="6"/>
  <c r="A118" i="6"/>
  <c r="A134" i="6"/>
  <c r="B147" i="6"/>
  <c r="B178" i="6"/>
  <c r="B230" i="6"/>
  <c r="A259" i="6"/>
  <c r="A270" i="6"/>
  <c r="A294" i="6"/>
  <c r="A302" i="6"/>
  <c r="A309" i="6"/>
  <c r="A317" i="6"/>
  <c r="A323" i="6"/>
  <c r="C330" i="6"/>
  <c r="A344" i="6"/>
  <c r="B350" i="6"/>
  <c r="A358" i="6"/>
  <c r="A364" i="6"/>
  <c r="B371" i="6"/>
  <c r="C377" i="6"/>
  <c r="C398" i="6"/>
  <c r="B404" i="6"/>
  <c r="C423" i="6"/>
  <c r="B429" i="6"/>
  <c r="C441" i="6"/>
  <c r="B448" i="6"/>
  <c r="A473" i="6"/>
  <c r="A479" i="6"/>
  <c r="B46" i="6"/>
  <c r="C178" i="6"/>
  <c r="B205" i="6"/>
  <c r="A232" i="6"/>
  <c r="B252" i="6"/>
  <c r="A260" i="6"/>
  <c r="A278" i="6"/>
  <c r="B294" i="6"/>
  <c r="B309" i="6"/>
  <c r="B345" i="6"/>
  <c r="B364" i="6"/>
  <c r="C399" i="6"/>
  <c r="C404" i="6"/>
  <c r="C429" i="6"/>
  <c r="A454" i="6"/>
  <c r="B474" i="6"/>
  <c r="C66" i="6"/>
  <c r="B101" i="6"/>
  <c r="B119" i="6"/>
  <c r="A152" i="6"/>
  <c r="A164" i="6"/>
  <c r="A181" i="6"/>
  <c r="A219" i="6"/>
  <c r="B232" i="6"/>
  <c r="C252" i="6"/>
  <c r="C260" i="6"/>
  <c r="C271" i="6"/>
  <c r="B288" i="6"/>
  <c r="C294" i="6"/>
  <c r="C309" i="6"/>
  <c r="C318" i="6"/>
  <c r="B337" i="6"/>
  <c r="A351" i="6"/>
  <c r="A359" i="6"/>
  <c r="C364" i="6"/>
  <c r="A378" i="6"/>
  <c r="B412" i="6"/>
  <c r="A462" i="6"/>
  <c r="A467" i="6"/>
  <c r="C479" i="6"/>
  <c r="A487" i="6"/>
  <c r="A107" i="6"/>
  <c r="C119" i="6"/>
  <c r="B137" i="6"/>
  <c r="C152" i="6"/>
  <c r="A210" i="6"/>
  <c r="C233" i="6"/>
  <c r="A272" i="6"/>
  <c r="A280" i="6"/>
  <c r="A296" i="6"/>
  <c r="C332" i="6"/>
  <c r="B373" i="6"/>
  <c r="B437" i="6"/>
  <c r="A443" i="6"/>
  <c r="B462" i="6"/>
  <c r="B487" i="6"/>
  <c r="A52" i="6"/>
  <c r="A87" i="6"/>
  <c r="B107" i="6"/>
  <c r="C120" i="6"/>
  <c r="B139" i="6"/>
  <c r="C210" i="6"/>
  <c r="C244" i="6"/>
  <c r="C297" i="6"/>
  <c r="C353" i="6"/>
  <c r="A367" i="6"/>
  <c r="A387" i="6"/>
  <c r="A407" i="6"/>
  <c r="A432" i="6"/>
  <c r="B450" i="6"/>
  <c r="C35" i="6"/>
  <c r="B407" i="6"/>
  <c r="C469" i="6"/>
  <c r="B70" i="6"/>
  <c r="A340" i="6"/>
  <c r="B88" i="6"/>
  <c r="A254" i="6"/>
  <c r="C346" i="6"/>
  <c r="B425" i="6"/>
  <c r="A475" i="6"/>
  <c r="C107" i="6"/>
  <c r="B264" i="6"/>
  <c r="B432" i="6"/>
  <c r="B475" i="6"/>
  <c r="A438" i="6"/>
  <c r="C139" i="6"/>
  <c r="B156" i="6"/>
  <c r="C289" i="6"/>
  <c r="C444" i="6"/>
  <c r="C487" i="6"/>
  <c r="A381" i="6"/>
  <c r="C450" i="6"/>
  <c r="C182" i="6"/>
  <c r="B387" i="6"/>
  <c r="A196" i="6"/>
  <c r="A457" i="6"/>
  <c r="A319" i="6"/>
  <c r="C462" i="6"/>
  <c r="C367" i="6"/>
  <c r="B444" i="6"/>
  <c r="A482" i="6"/>
  <c r="E493" i="6"/>
  <c r="D498" i="6"/>
  <c r="E35" i="6"/>
  <c r="D40" i="6"/>
  <c r="E47" i="6"/>
  <c r="D52" i="6"/>
  <c r="E59" i="6"/>
  <c r="D64" i="6"/>
  <c r="E71" i="6"/>
  <c r="D76" i="6"/>
  <c r="E83" i="6"/>
  <c r="D88" i="6"/>
  <c r="E95" i="6"/>
  <c r="D100" i="6"/>
  <c r="E107" i="6"/>
  <c r="D112" i="6"/>
  <c r="E119" i="6"/>
  <c r="D124" i="6"/>
  <c r="E131" i="6"/>
  <c r="D136" i="6"/>
  <c r="E143" i="6"/>
  <c r="D148" i="6"/>
  <c r="E155" i="6"/>
  <c r="D160" i="6"/>
  <c r="E167" i="6"/>
  <c r="D172" i="6"/>
  <c r="E179" i="6"/>
  <c r="D184" i="6"/>
  <c r="E191" i="6"/>
  <c r="D196" i="6"/>
  <c r="E203" i="6"/>
  <c r="D208" i="6"/>
  <c r="E215" i="6"/>
  <c r="D220" i="6"/>
  <c r="E491" i="6"/>
  <c r="D499" i="6"/>
  <c r="E34" i="6"/>
  <c r="D42" i="6"/>
  <c r="D50" i="6"/>
  <c r="E55" i="6"/>
  <c r="D63" i="6"/>
  <c r="E68" i="6"/>
  <c r="E76" i="6"/>
  <c r="D84" i="6"/>
  <c r="E89" i="6"/>
  <c r="D97" i="6"/>
  <c r="E102" i="6"/>
  <c r="D105" i="6"/>
  <c r="E110" i="6"/>
  <c r="D118" i="6"/>
  <c r="E123" i="6"/>
  <c r="D131" i="6"/>
  <c r="D139" i="6"/>
  <c r="E144" i="6"/>
  <c r="D152" i="6"/>
  <c r="E157" i="6"/>
  <c r="E165" i="6"/>
  <c r="D173" i="6"/>
  <c r="E178" i="6"/>
  <c r="D186" i="6"/>
  <c r="D194" i="6"/>
  <c r="E199" i="6"/>
  <c r="D207" i="6"/>
  <c r="E212" i="6"/>
  <c r="E220" i="6"/>
  <c r="D225" i="6"/>
  <c r="E232" i="6"/>
  <c r="D237" i="6"/>
  <c r="E244" i="6"/>
  <c r="D249" i="6"/>
  <c r="E256" i="6"/>
  <c r="D261" i="6"/>
  <c r="E268" i="6"/>
  <c r="D273" i="6"/>
  <c r="E280" i="6"/>
  <c r="D285" i="6"/>
  <c r="E292" i="6"/>
  <c r="D297" i="6"/>
  <c r="E304" i="6"/>
  <c r="D309" i="6"/>
  <c r="E316" i="6"/>
  <c r="D321" i="6"/>
  <c r="E328" i="6"/>
  <c r="D333" i="6"/>
  <c r="E340" i="6"/>
  <c r="D345" i="6"/>
  <c r="E352" i="6"/>
  <c r="D357" i="6"/>
  <c r="E364" i="6"/>
  <c r="D369" i="6"/>
  <c r="E376" i="6"/>
  <c r="D381" i="6"/>
  <c r="E388" i="6"/>
  <c r="D393" i="6"/>
  <c r="D489" i="6"/>
  <c r="E494" i="6"/>
  <c r="D32" i="6"/>
  <c r="E37" i="6"/>
  <c r="E45" i="6"/>
  <c r="D53" i="6"/>
  <c r="E58" i="6"/>
  <c r="D66" i="6"/>
  <c r="D74" i="6"/>
  <c r="E79" i="6"/>
  <c r="D87" i="6"/>
  <c r="E92" i="6"/>
  <c r="E100" i="6"/>
  <c r="D108" i="6"/>
  <c r="E113" i="6"/>
  <c r="D121" i="6"/>
  <c r="E126" i="6"/>
  <c r="D129" i="6"/>
  <c r="E134" i="6"/>
  <c r="D142" i="6"/>
  <c r="E147" i="6"/>
  <c r="D155" i="6"/>
  <c r="D163" i="6"/>
  <c r="E168" i="6"/>
  <c r="D176" i="6"/>
  <c r="E181" i="6"/>
  <c r="E189" i="6"/>
  <c r="D197" i="6"/>
  <c r="E202" i="6"/>
  <c r="D210" i="6"/>
  <c r="D218" i="6"/>
  <c r="D223" i="6"/>
  <c r="E230" i="6"/>
  <c r="D235" i="6"/>
  <c r="D496" i="6"/>
  <c r="E499" i="6"/>
  <c r="D45" i="6"/>
  <c r="E48" i="6"/>
  <c r="E51" i="6"/>
  <c r="E54" i="6"/>
  <c r="D67" i="6"/>
  <c r="D70" i="6"/>
  <c r="D73" i="6"/>
  <c r="D92" i="6"/>
  <c r="D111" i="6"/>
  <c r="D114" i="6"/>
  <c r="E117" i="6"/>
  <c r="E120" i="6"/>
  <c r="E139" i="6"/>
  <c r="E158" i="6"/>
  <c r="E161" i="6"/>
  <c r="E164" i="6"/>
  <c r="D177" i="6"/>
  <c r="D180" i="6"/>
  <c r="D183" i="6"/>
  <c r="E186" i="6"/>
  <c r="D202" i="6"/>
  <c r="E205" i="6"/>
  <c r="D221" i="6"/>
  <c r="E238" i="6"/>
  <c r="D246" i="6"/>
  <c r="E251" i="6"/>
  <c r="D254" i="6"/>
  <c r="E259" i="6"/>
  <c r="D267" i="6"/>
  <c r="E272" i="6"/>
  <c r="D492" i="6"/>
  <c r="E495" i="6"/>
  <c r="E32" i="6"/>
  <c r="D39" i="6"/>
  <c r="D46" i="6"/>
  <c r="E49" i="6"/>
  <c r="E56" i="6"/>
  <c r="E73" i="6"/>
  <c r="D77" i="6"/>
  <c r="E80" i="6"/>
  <c r="E87" i="6"/>
  <c r="E97" i="6"/>
  <c r="D104" i="6"/>
  <c r="E111" i="6"/>
  <c r="D128" i="6"/>
  <c r="D135" i="6"/>
  <c r="E138" i="6"/>
  <c r="E145" i="6"/>
  <c r="E152" i="6"/>
  <c r="D159" i="6"/>
  <c r="E162" i="6"/>
  <c r="D166" i="6"/>
  <c r="E169" i="6"/>
  <c r="E176" i="6"/>
  <c r="D190" i="6"/>
  <c r="E193" i="6"/>
  <c r="E200" i="6"/>
  <c r="D217" i="6"/>
  <c r="D224" i="6"/>
  <c r="D227" i="6"/>
  <c r="E245" i="6"/>
  <c r="D248" i="6"/>
  <c r="E265" i="6"/>
  <c r="D268" i="6"/>
  <c r="D271" i="6"/>
  <c r="E279" i="6"/>
  <c r="D287" i="6"/>
  <c r="D295" i="6"/>
  <c r="E33" i="6"/>
  <c r="D44" i="6"/>
  <c r="D48" i="6"/>
  <c r="D59" i="6"/>
  <c r="E85" i="6"/>
  <c r="D89" i="6"/>
  <c r="D93" i="6"/>
  <c r="E108" i="6"/>
  <c r="E115" i="6"/>
  <c r="D119" i="6"/>
  <c r="E130" i="6"/>
  <c r="D134" i="6"/>
  <c r="E141" i="6"/>
  <c r="D145" i="6"/>
  <c r="D149" i="6"/>
  <c r="D153" i="6"/>
  <c r="E160" i="6"/>
  <c r="D175" i="6"/>
  <c r="E190" i="6"/>
  <c r="E201" i="6"/>
  <c r="D205" i="6"/>
  <c r="E216" i="6"/>
  <c r="E237" i="6"/>
  <c r="D259" i="6"/>
  <c r="E262" i="6"/>
  <c r="E286" i="6"/>
  <c r="D289" i="6"/>
  <c r="E300" i="6"/>
  <c r="D308" i="6"/>
  <c r="E313" i="6"/>
  <c r="D490" i="6"/>
  <c r="D494" i="6"/>
  <c r="E36" i="6"/>
  <c r="E44" i="6"/>
  <c r="D61" i="6"/>
  <c r="D69" i="6"/>
  <c r="E77" i="6"/>
  <c r="D81" i="6"/>
  <c r="D85" i="6"/>
  <c r="D122" i="6"/>
  <c r="D130" i="6"/>
  <c r="D138" i="6"/>
  <c r="E154" i="6"/>
  <c r="D171" i="6"/>
  <c r="D179" i="6"/>
  <c r="E183" i="6"/>
  <c r="D191" i="6"/>
  <c r="E195" i="6"/>
  <c r="E231" i="6"/>
  <c r="D242" i="6"/>
  <c r="E252" i="6"/>
  <c r="D266" i="6"/>
  <c r="E269" i="6"/>
  <c r="D276" i="6"/>
  <c r="D279" i="6"/>
  <c r="E282" i="6"/>
  <c r="E306" i="6"/>
  <c r="E309" i="6"/>
  <c r="D312" i="6"/>
  <c r="D320" i="6"/>
  <c r="E325" i="6"/>
  <c r="E333" i="6"/>
  <c r="D341" i="6"/>
  <c r="E346" i="6"/>
  <c r="D354" i="6"/>
  <c r="E359" i="6"/>
  <c r="D362" i="6"/>
  <c r="E367" i="6"/>
  <c r="D375" i="6"/>
  <c r="E380" i="6"/>
  <c r="D388" i="6"/>
  <c r="D396" i="6"/>
  <c r="E403" i="6"/>
  <c r="D408" i="6"/>
  <c r="E415" i="6"/>
  <c r="D420" i="6"/>
  <c r="E427" i="6"/>
  <c r="D432" i="6"/>
  <c r="E439" i="6"/>
  <c r="D444" i="6"/>
  <c r="E451" i="6"/>
  <c r="D456" i="6"/>
  <c r="E463" i="6"/>
  <c r="D468" i="6"/>
  <c r="E475" i="6"/>
  <c r="D480" i="6"/>
  <c r="E487" i="6"/>
  <c r="E490" i="6"/>
  <c r="E498" i="6"/>
  <c r="E53" i="6"/>
  <c r="D57" i="6"/>
  <c r="E61" i="6"/>
  <c r="D65" i="6"/>
  <c r="E69" i="6"/>
  <c r="E81" i="6"/>
  <c r="D98" i="6"/>
  <c r="D493" i="6"/>
  <c r="D38" i="6"/>
  <c r="D43" i="6"/>
  <c r="D47" i="6"/>
  <c r="E52" i="6"/>
  <c r="E62" i="6"/>
  <c r="D72" i="6"/>
  <c r="E82" i="6"/>
  <c r="E96" i="6"/>
  <c r="E101" i="6"/>
  <c r="D106" i="6"/>
  <c r="D110" i="6"/>
  <c r="D137" i="6"/>
  <c r="D141" i="6"/>
  <c r="D146" i="6"/>
  <c r="E150" i="6"/>
  <c r="E159" i="6"/>
  <c r="E177" i="6"/>
  <c r="D199" i="6"/>
  <c r="E208" i="6"/>
  <c r="D213" i="6"/>
  <c r="E229" i="6"/>
  <c r="D245" i="6"/>
  <c r="E249" i="6"/>
  <c r="E260" i="6"/>
  <c r="E271" i="6"/>
  <c r="D275" i="6"/>
  <c r="E285" i="6"/>
  <c r="D292" i="6"/>
  <c r="D311" i="6"/>
  <c r="E314" i="6"/>
  <c r="D317" i="6"/>
  <c r="E334" i="6"/>
  <c r="D337" i="6"/>
  <c r="E351" i="6"/>
  <c r="E354" i="6"/>
  <c r="E357" i="6"/>
  <c r="D360" i="6"/>
  <c r="E371" i="6"/>
  <c r="E374" i="6"/>
  <c r="D377" i="6"/>
  <c r="E394" i="6"/>
  <c r="D397" i="6"/>
  <c r="E402" i="6"/>
  <c r="D410" i="6"/>
  <c r="D418" i="6"/>
  <c r="E423" i="6"/>
  <c r="D431" i="6"/>
  <c r="E436" i="6"/>
  <c r="E444" i="6"/>
  <c r="D452" i="6"/>
  <c r="E457" i="6"/>
  <c r="D465" i="6"/>
  <c r="E470" i="6"/>
  <c r="D473" i="6"/>
  <c r="E478" i="6"/>
  <c r="D486" i="6"/>
  <c r="E38" i="6"/>
  <c r="E43" i="6"/>
  <c r="D58" i="6"/>
  <c r="E72" i="6"/>
  <c r="E106" i="6"/>
  <c r="D115" i="6"/>
  <c r="E124" i="6"/>
  <c r="E128" i="6"/>
  <c r="E137" i="6"/>
  <c r="E146" i="6"/>
  <c r="D164" i="6"/>
  <c r="D500" i="6"/>
  <c r="D35" i="6"/>
  <c r="E41" i="6"/>
  <c r="E88" i="6"/>
  <c r="E94" i="6"/>
  <c r="E105" i="6"/>
  <c r="E116" i="6"/>
  <c r="E121" i="6"/>
  <c r="D127" i="6"/>
  <c r="D132" i="6"/>
  <c r="D143" i="6"/>
  <c r="D189" i="6"/>
  <c r="E194" i="6"/>
  <c r="D204" i="6"/>
  <c r="D209" i="6"/>
  <c r="D228" i="6"/>
  <c r="E236" i="6"/>
  <c r="D253" i="6"/>
  <c r="E257" i="6"/>
  <c r="D269" i="6"/>
  <c r="E273" i="6"/>
  <c r="D277" i="6"/>
  <c r="E284" i="6"/>
  <c r="D288" i="6"/>
  <c r="D299" i="6"/>
  <c r="D319" i="6"/>
  <c r="D322" i="6"/>
  <c r="D325" i="6"/>
  <c r="D344" i="6"/>
  <c r="D347" i="6"/>
  <c r="E350" i="6"/>
  <c r="E353" i="6"/>
  <c r="E356" i="6"/>
  <c r="D372" i="6"/>
  <c r="E375" i="6"/>
  <c r="E378" i="6"/>
  <c r="E411" i="6"/>
  <c r="D414" i="6"/>
  <c r="E428" i="6"/>
  <c r="E431" i="6"/>
  <c r="D434" i="6"/>
  <c r="D437" i="6"/>
  <c r="E448" i="6"/>
  <c r="D451" i="6"/>
  <c r="D454" i="6"/>
  <c r="E471" i="6"/>
  <c r="D474" i="6"/>
  <c r="E488" i="6"/>
  <c r="E500" i="6"/>
  <c r="E65" i="6"/>
  <c r="D71" i="6"/>
  <c r="D83" i="6"/>
  <c r="E127" i="6"/>
  <c r="E132" i="6"/>
  <c r="E148" i="6"/>
  <c r="E175" i="6"/>
  <c r="E180" i="6"/>
  <c r="E204" i="6"/>
  <c r="E209" i="6"/>
  <c r="D214" i="6"/>
  <c r="E223" i="6"/>
  <c r="E228" i="6"/>
  <c r="D232" i="6"/>
  <c r="D241" i="6"/>
  <c r="E253" i="6"/>
  <c r="E261" i="6"/>
  <c r="D265" i="6"/>
  <c r="D495" i="6"/>
  <c r="E31" i="6"/>
  <c r="D60" i="6"/>
  <c r="E67" i="6"/>
  <c r="E114" i="6"/>
  <c r="E140" i="6"/>
  <c r="D147" i="6"/>
  <c r="E153" i="6"/>
  <c r="E166" i="6"/>
  <c r="E172" i="6"/>
  <c r="D178" i="6"/>
  <c r="E196" i="6"/>
  <c r="E207" i="6"/>
  <c r="E219" i="6"/>
  <c r="D230" i="6"/>
  <c r="E240" i="6"/>
  <c r="D255" i="6"/>
  <c r="D260" i="6"/>
  <c r="D274" i="6"/>
  <c r="E278" i="6"/>
  <c r="D294" i="6"/>
  <c r="E298" i="6"/>
  <c r="D302" i="6"/>
  <c r="D313" i="6"/>
  <c r="E320" i="6"/>
  <c r="D330" i="6"/>
  <c r="E347" i="6"/>
  <c r="D364" i="6"/>
  <c r="E381" i="6"/>
  <c r="D398" i="6"/>
  <c r="E401" i="6"/>
  <c r="E404" i="6"/>
  <c r="E407" i="6"/>
  <c r="D423" i="6"/>
  <c r="E426" i="6"/>
  <c r="E429" i="6"/>
  <c r="E454" i="6"/>
  <c r="D476" i="6"/>
  <c r="D479" i="6"/>
  <c r="D482" i="6"/>
  <c r="E485" i="6"/>
  <c r="E489" i="6"/>
  <c r="E39" i="6"/>
  <c r="E46" i="6"/>
  <c r="D54" i="6"/>
  <c r="E60" i="6"/>
  <c r="D103" i="6"/>
  <c r="E122" i="6"/>
  <c r="E173" i="6"/>
  <c r="D185" i="6"/>
  <c r="E214" i="6"/>
  <c r="E225" i="6"/>
  <c r="E241" i="6"/>
  <c r="E246" i="6"/>
  <c r="E255" i="6"/>
  <c r="D270" i="6"/>
  <c r="E274" i="6"/>
  <c r="E294" i="6"/>
  <c r="E302" i="6"/>
  <c r="D306" i="6"/>
  <c r="D327" i="6"/>
  <c r="E330" i="6"/>
  <c r="E337" i="6"/>
  <c r="E344" i="6"/>
  <c r="D361" i="6"/>
  <c r="D371" i="6"/>
  <c r="D378" i="6"/>
  <c r="D395" i="6"/>
  <c r="E398" i="6"/>
  <c r="D417" i="6"/>
  <c r="E420" i="6"/>
  <c r="D442" i="6"/>
  <c r="D445" i="6"/>
  <c r="D448" i="6"/>
  <c r="E473" i="6"/>
  <c r="E476" i="6"/>
  <c r="E479" i="6"/>
  <c r="E482" i="6"/>
  <c r="E496" i="6"/>
  <c r="D33" i="6"/>
  <c r="D68" i="6"/>
  <c r="D75" i="6"/>
  <c r="D82" i="6"/>
  <c r="D90" i="6"/>
  <c r="D96" i="6"/>
  <c r="E103" i="6"/>
  <c r="D109" i="6"/>
  <c r="D116" i="6"/>
  <c r="E129" i="6"/>
  <c r="E135" i="6"/>
  <c r="D154" i="6"/>
  <c r="D161" i="6"/>
  <c r="E185" i="6"/>
  <c r="E197" i="6"/>
  <c r="D231" i="6"/>
  <c r="D236" i="6"/>
  <c r="D251" i="6"/>
  <c r="E266" i="6"/>
  <c r="E270" i="6"/>
  <c r="D283" i="6"/>
  <c r="E295" i="6"/>
  <c r="D310" i="6"/>
  <c r="E317" i="6"/>
  <c r="D324" i="6"/>
  <c r="E327" i="6"/>
  <c r="D334" i="6"/>
  <c r="E341" i="6"/>
  <c r="D351" i="6"/>
  <c r="D358" i="6"/>
  <c r="E361" i="6"/>
  <c r="D368" i="6"/>
  <c r="D385" i="6"/>
  <c r="D392" i="6"/>
  <c r="E395" i="6"/>
  <c r="D411" i="6"/>
  <c r="E414" i="6"/>
  <c r="E417" i="6"/>
  <c r="D439" i="6"/>
  <c r="E442" i="6"/>
  <c r="E445" i="6"/>
  <c r="D461" i="6"/>
  <c r="D464" i="6"/>
  <c r="D467" i="6"/>
  <c r="D470" i="6"/>
  <c r="E40" i="6"/>
  <c r="E75" i="6"/>
  <c r="E90" i="6"/>
  <c r="E109" i="6"/>
  <c r="E70" i="6"/>
  <c r="E91" i="6"/>
  <c r="D101" i="6"/>
  <c r="E112" i="6"/>
  <c r="D120" i="6"/>
  <c r="E149" i="6"/>
  <c r="E174" i="6"/>
  <c r="D182" i="6"/>
  <c r="D212" i="6"/>
  <c r="D290" i="6"/>
  <c r="D296" i="6"/>
  <c r="D305" i="6"/>
  <c r="E315" i="6"/>
  <c r="D329" i="6"/>
  <c r="E338" i="6"/>
  <c r="E342" i="6"/>
  <c r="E365" i="6"/>
  <c r="D379" i="6"/>
  <c r="E383" i="6"/>
  <c r="E387" i="6"/>
  <c r="E405" i="6"/>
  <c r="E409" i="6"/>
  <c r="E413" i="6"/>
  <c r="E430" i="6"/>
  <c r="E434" i="6"/>
  <c r="D438" i="6"/>
  <c r="E455" i="6"/>
  <c r="D459" i="6"/>
  <c r="D463" i="6"/>
  <c r="E480" i="6"/>
  <c r="D484" i="6"/>
  <c r="E50" i="6"/>
  <c r="D80" i="6"/>
  <c r="D102" i="6"/>
  <c r="D140" i="6"/>
  <c r="D157" i="6"/>
  <c r="E182" i="6"/>
  <c r="D198" i="6"/>
  <c r="D206" i="6"/>
  <c r="E213" i="6"/>
  <c r="E235" i="6"/>
  <c r="E248" i="6"/>
  <c r="D262" i="6"/>
  <c r="E290" i="6"/>
  <c r="E296" i="6"/>
  <c r="E305" i="6"/>
  <c r="E329" i="6"/>
  <c r="D352" i="6"/>
  <c r="D356" i="6"/>
  <c r="D370" i="6"/>
  <c r="D374" i="6"/>
  <c r="E379" i="6"/>
  <c r="E397" i="6"/>
  <c r="D401" i="6"/>
  <c r="E418" i="6"/>
  <c r="D426" i="6"/>
  <c r="E438" i="6"/>
  <c r="D443" i="6"/>
  <c r="D447" i="6"/>
  <c r="E459" i="6"/>
  <c r="E484" i="6"/>
  <c r="D488" i="6"/>
  <c r="D41" i="6"/>
  <c r="D62" i="6"/>
  <c r="D123" i="6"/>
  <c r="E142" i="6"/>
  <c r="D150" i="6"/>
  <c r="D167" i="6"/>
  <c r="D192" i="6"/>
  <c r="E198" i="6"/>
  <c r="E206" i="6"/>
  <c r="D215" i="6"/>
  <c r="D222" i="6"/>
  <c r="D243" i="6"/>
  <c r="D256" i="6"/>
  <c r="E275" i="6"/>
  <c r="D280" i="6"/>
  <c r="D291" i="6"/>
  <c r="D301" i="6"/>
  <c r="E311" i="6"/>
  <c r="D343" i="6"/>
  <c r="D348" i="6"/>
  <c r="D366" i="6"/>
  <c r="E370" i="6"/>
  <c r="D389" i="6"/>
  <c r="D406" i="6"/>
  <c r="D422" i="6"/>
  <c r="E443" i="6"/>
  <c r="E447" i="6"/>
  <c r="E464" i="6"/>
  <c r="E468" i="6"/>
  <c r="D472" i="6"/>
  <c r="E63" i="6"/>
  <c r="E84" i="6"/>
  <c r="E93" i="6"/>
  <c r="E104" i="6"/>
  <c r="D113" i="6"/>
  <c r="D133" i="6"/>
  <c r="D151" i="6"/>
  <c r="D158" i="6"/>
  <c r="D168" i="6"/>
  <c r="E192" i="6"/>
  <c r="D200" i="6"/>
  <c r="E222" i="6"/>
  <c r="D229" i="6"/>
  <c r="E243" i="6"/>
  <c r="D250" i="6"/>
  <c r="D257" i="6"/>
  <c r="D263" i="6"/>
  <c r="E291" i="6"/>
  <c r="E301" i="6"/>
  <c r="D307" i="6"/>
  <c r="D316" i="6"/>
  <c r="E321" i="6"/>
  <c r="D339" i="6"/>
  <c r="E343" i="6"/>
  <c r="E348" i="6"/>
  <c r="E366" i="6"/>
  <c r="D384" i="6"/>
  <c r="E389" i="6"/>
  <c r="E393" i="6"/>
  <c r="D402" i="6"/>
  <c r="E406" i="6"/>
  <c r="E422" i="6"/>
  <c r="D427" i="6"/>
  <c r="D435" i="6"/>
  <c r="E452" i="6"/>
  <c r="D460" i="6"/>
  <c r="E472" i="6"/>
  <c r="D477" i="6"/>
  <c r="D481" i="6"/>
  <c r="D491" i="6"/>
  <c r="E42" i="6"/>
  <c r="D51" i="6"/>
  <c r="D94" i="6"/>
  <c r="E133" i="6"/>
  <c r="E151" i="6"/>
  <c r="E184" i="6"/>
  <c r="D216" i="6"/>
  <c r="D37" i="6"/>
  <c r="D56" i="6"/>
  <c r="D91" i="6"/>
  <c r="E156" i="6"/>
  <c r="E171" i="6"/>
  <c r="D187" i="6"/>
  <c r="D211" i="6"/>
  <c r="E234" i="6"/>
  <c r="E264" i="6"/>
  <c r="D282" i="6"/>
  <c r="D298" i="6"/>
  <c r="D340" i="6"/>
  <c r="E360" i="6"/>
  <c r="D387" i="6"/>
  <c r="D407" i="6"/>
  <c r="D413" i="6"/>
  <c r="E425" i="6"/>
  <c r="E432" i="6"/>
  <c r="E450" i="6"/>
  <c r="E211" i="6"/>
  <c r="D238" i="6"/>
  <c r="E283" i="6"/>
  <c r="E307" i="6"/>
  <c r="E368" i="6"/>
  <c r="E408" i="6"/>
  <c r="D440" i="6"/>
  <c r="E276" i="6"/>
  <c r="E335" i="6"/>
  <c r="D349" i="6"/>
  <c r="E355" i="6"/>
  <c r="E440" i="6"/>
  <c r="D293" i="6"/>
  <c r="E421" i="6"/>
  <c r="D446" i="6"/>
  <c r="E258" i="6"/>
  <c r="E293" i="6"/>
  <c r="E322" i="6"/>
  <c r="E363" i="6"/>
  <c r="D383" i="6"/>
  <c r="D453" i="6"/>
  <c r="D478" i="6"/>
  <c r="E410" i="6"/>
  <c r="D485" i="6"/>
  <c r="E497" i="6"/>
  <c r="E99" i="6"/>
  <c r="E118" i="6"/>
  <c r="E163" i="6"/>
  <c r="E218" i="6"/>
  <c r="E287" i="6"/>
  <c r="D303" i="6"/>
  <c r="E358" i="6"/>
  <c r="D391" i="6"/>
  <c r="D436" i="6"/>
  <c r="E466" i="6"/>
  <c r="D49" i="6"/>
  <c r="E303" i="6"/>
  <c r="E372" i="6"/>
  <c r="D386" i="6"/>
  <c r="D404" i="6"/>
  <c r="D34" i="6"/>
  <c r="E242" i="6"/>
  <c r="D318" i="6"/>
  <c r="D338" i="6"/>
  <c r="E399" i="6"/>
  <c r="D455" i="6"/>
  <c r="E221" i="6"/>
  <c r="D326" i="6"/>
  <c r="D429" i="6"/>
  <c r="E386" i="6"/>
  <c r="D430" i="6"/>
  <c r="E449" i="6"/>
  <c r="E474" i="6"/>
  <c r="D195" i="6"/>
  <c r="D233" i="6"/>
  <c r="E288" i="6"/>
  <c r="E339" i="6"/>
  <c r="D380" i="6"/>
  <c r="E437" i="6"/>
  <c r="D36" i="6"/>
  <c r="E74" i="6"/>
  <c r="D107" i="6"/>
  <c r="E125" i="6"/>
  <c r="D156" i="6"/>
  <c r="E170" i="6"/>
  <c r="D234" i="6"/>
  <c r="E254" i="6"/>
  <c r="D264" i="6"/>
  <c r="E289" i="6"/>
  <c r="D346" i="6"/>
  <c r="D367" i="6"/>
  <c r="E373" i="6"/>
  <c r="E400" i="6"/>
  <c r="E419" i="6"/>
  <c r="D425" i="6"/>
  <c r="D450" i="6"/>
  <c r="E462" i="6"/>
  <c r="E469" i="6"/>
  <c r="E319" i="6"/>
  <c r="D457" i="6"/>
  <c r="D475" i="6"/>
  <c r="E492" i="6"/>
  <c r="D78" i="6"/>
  <c r="D95" i="6"/>
  <c r="D126" i="6"/>
  <c r="D144" i="6"/>
  <c r="E187" i="6"/>
  <c r="D226" i="6"/>
  <c r="D247" i="6"/>
  <c r="E299" i="6"/>
  <c r="D314" i="6"/>
  <c r="D335" i="6"/>
  <c r="D355" i="6"/>
  <c r="E362" i="6"/>
  <c r="D382" i="6"/>
  <c r="D433" i="6"/>
  <c r="D458" i="6"/>
  <c r="E477" i="6"/>
  <c r="D483" i="6"/>
  <c r="E57" i="6"/>
  <c r="E78" i="6"/>
  <c r="E98" i="6"/>
  <c r="D201" i="6"/>
  <c r="E226" i="6"/>
  <c r="E247" i="6"/>
  <c r="D376" i="6"/>
  <c r="E382" i="6"/>
  <c r="D415" i="6"/>
  <c r="D421" i="6"/>
  <c r="E433" i="6"/>
  <c r="E458" i="6"/>
  <c r="E483" i="6"/>
  <c r="D174" i="6"/>
  <c r="D258" i="6"/>
  <c r="D328" i="6"/>
  <c r="E349" i="6"/>
  <c r="D363" i="6"/>
  <c r="E369" i="6"/>
  <c r="E396" i="6"/>
  <c r="D403" i="6"/>
  <c r="E465" i="6"/>
  <c r="D471" i="6"/>
  <c r="E64" i="6"/>
  <c r="D79" i="6"/>
  <c r="D117" i="6"/>
  <c r="D188" i="6"/>
  <c r="E227" i="6"/>
  <c r="D239" i="6"/>
  <c r="E267" i="6"/>
  <c r="D284" i="6"/>
  <c r="D300" i="6"/>
  <c r="E308" i="6"/>
  <c r="D315" i="6"/>
  <c r="D336" i="6"/>
  <c r="D342" i="6"/>
  <c r="D390" i="6"/>
  <c r="D409" i="6"/>
  <c r="D428" i="6"/>
  <c r="E446" i="6"/>
  <c r="D497" i="6"/>
  <c r="D99" i="6"/>
  <c r="D162" i="6"/>
  <c r="E188" i="6"/>
  <c r="D203" i="6"/>
  <c r="E217" i="6"/>
  <c r="E239" i="6"/>
  <c r="E250" i="6"/>
  <c r="E277" i="6"/>
  <c r="D286" i="6"/>
  <c r="E336" i="6"/>
  <c r="E384" i="6"/>
  <c r="E390" i="6"/>
  <c r="D416" i="6"/>
  <c r="E435" i="6"/>
  <c r="E453" i="6"/>
  <c r="E460" i="6"/>
  <c r="D466" i="6"/>
  <c r="D323" i="6"/>
  <c r="D331" i="6"/>
  <c r="D350" i="6"/>
  <c r="E377" i="6"/>
  <c r="E385" i="6"/>
  <c r="E416" i="6"/>
  <c r="D441" i="6"/>
  <c r="E461" i="6"/>
  <c r="E486" i="6"/>
  <c r="D31" i="6"/>
  <c r="D86" i="6"/>
  <c r="E136" i="6"/>
  <c r="D193" i="6"/>
  <c r="D240" i="6"/>
  <c r="D278" i="6"/>
  <c r="E323" i="6"/>
  <c r="E331" i="6"/>
  <c r="E391" i="6"/>
  <c r="D399" i="6"/>
  <c r="D424" i="6"/>
  <c r="E441" i="6"/>
  <c r="D449" i="6"/>
  <c r="E66" i="6"/>
  <c r="E86" i="6"/>
  <c r="D165" i="6"/>
  <c r="D219" i="6"/>
  <c r="D252" i="6"/>
  <c r="E310" i="6"/>
  <c r="E324" i="6"/>
  <c r="E345" i="6"/>
  <c r="D365" i="6"/>
  <c r="E392" i="6"/>
  <c r="D405" i="6"/>
  <c r="E424" i="6"/>
  <c r="E467" i="6"/>
  <c r="D169" i="6"/>
  <c r="D181" i="6"/>
  <c r="E263" i="6"/>
  <c r="D281" i="6"/>
  <c r="E318" i="6"/>
  <c r="D332" i="6"/>
  <c r="D412" i="6"/>
  <c r="E224" i="6"/>
  <c r="E326" i="6"/>
  <c r="D462" i="6"/>
  <c r="D55" i="6"/>
  <c r="E233" i="6"/>
  <c r="E332" i="6"/>
  <c r="E412" i="6"/>
  <c r="D244" i="6"/>
  <c r="D419" i="6"/>
  <c r="D469" i="6"/>
  <c r="D353" i="6"/>
  <c r="D125" i="6"/>
  <c r="D272" i="6"/>
  <c r="E481" i="6"/>
  <c r="D373" i="6"/>
  <c r="D170" i="6"/>
  <c r="E297" i="6"/>
  <c r="D487" i="6"/>
  <c r="D304" i="6"/>
  <c r="E456" i="6"/>
  <c r="E312" i="6"/>
  <c r="D394" i="6"/>
  <c r="E210" i="6"/>
  <c r="D400" i="6"/>
  <c r="D359" i="6"/>
  <c r="E281" i="6"/>
  <c r="D5" i="6"/>
  <c r="E5" i="6"/>
  <c r="E11" i="6"/>
  <c r="E17" i="6"/>
  <c r="E23" i="6"/>
  <c r="E29" i="6"/>
  <c r="D4" i="6"/>
  <c r="AN44" i="2" s="1"/>
  <c r="AO44" i="2" s="1"/>
  <c r="D6" i="6"/>
  <c r="E6" i="6"/>
  <c r="E7" i="6"/>
  <c r="E13" i="6"/>
  <c r="E19" i="6"/>
  <c r="E25" i="6"/>
  <c r="D7" i="6"/>
  <c r="E14" i="6"/>
  <c r="E21" i="6"/>
  <c r="E28" i="6"/>
  <c r="E8" i="6"/>
  <c r="E15" i="6"/>
  <c r="D9" i="6"/>
  <c r="D16" i="6"/>
  <c r="D23" i="6"/>
  <c r="E30" i="6"/>
  <c r="D8" i="6"/>
  <c r="D18" i="6"/>
  <c r="E26" i="6"/>
  <c r="D10" i="6"/>
  <c r="D19" i="6"/>
  <c r="E27" i="6"/>
  <c r="E10" i="6"/>
  <c r="D20" i="6"/>
  <c r="D28" i="6"/>
  <c r="D11" i="6"/>
  <c r="E20" i="6"/>
  <c r="D29" i="6"/>
  <c r="E9" i="6"/>
  <c r="D24" i="6"/>
  <c r="E12" i="6"/>
  <c r="D25" i="6"/>
  <c r="D13" i="6"/>
  <c r="D26" i="6"/>
  <c r="D14" i="6"/>
  <c r="D27" i="6"/>
  <c r="D12" i="6"/>
  <c r="E16" i="6"/>
  <c r="D17" i="6"/>
  <c r="E18" i="6"/>
  <c r="D15" i="6"/>
  <c r="D21" i="6"/>
  <c r="D22" i="6"/>
  <c r="E22" i="6"/>
  <c r="E24" i="6"/>
  <c r="D30" i="6"/>
  <c r="E4" i="6"/>
  <c r="C8" i="6"/>
  <c r="C12" i="6"/>
  <c r="C16" i="6"/>
  <c r="C20" i="6"/>
  <c r="C24" i="6"/>
  <c r="C28" i="6"/>
  <c r="A7" i="6"/>
  <c r="B11" i="6"/>
  <c r="C15" i="6"/>
  <c r="A20" i="6"/>
  <c r="B24" i="6"/>
  <c r="A29" i="6"/>
  <c r="A8" i="6"/>
  <c r="B12" i="6"/>
  <c r="A17" i="6"/>
  <c r="B21" i="6"/>
  <c r="C25" i="6"/>
  <c r="A30" i="6"/>
  <c r="C5" i="6"/>
  <c r="C10" i="6"/>
  <c r="A16" i="6"/>
  <c r="C21" i="6"/>
  <c r="C26" i="6"/>
  <c r="B6" i="6"/>
  <c r="C11" i="6"/>
  <c r="B17" i="6"/>
  <c r="B22" i="6"/>
  <c r="B27" i="6"/>
  <c r="C6" i="6"/>
  <c r="A12" i="6"/>
  <c r="C17" i="6"/>
  <c r="C22" i="6"/>
  <c r="C27" i="6"/>
  <c r="B7" i="6"/>
  <c r="A13" i="6"/>
  <c r="A18" i="6"/>
  <c r="A23" i="6"/>
  <c r="A28" i="6"/>
  <c r="A11" i="6"/>
  <c r="B19" i="6"/>
  <c r="A27" i="6"/>
  <c r="A5" i="6"/>
  <c r="C13" i="6"/>
  <c r="B20" i="6"/>
  <c r="B29" i="6"/>
  <c r="B5" i="6"/>
  <c r="A14" i="6"/>
  <c r="A21" i="6"/>
  <c r="C29" i="6"/>
  <c r="A6" i="6"/>
  <c r="B14" i="6"/>
  <c r="A22" i="6"/>
  <c r="B30" i="6"/>
  <c r="B9" i="6"/>
  <c r="C19" i="6"/>
  <c r="A10" i="6"/>
  <c r="C23" i="6"/>
  <c r="B10" i="6"/>
  <c r="A24" i="6"/>
  <c r="B13" i="6"/>
  <c r="A25" i="6"/>
  <c r="B4" i="6"/>
  <c r="O22" i="2" s="1"/>
  <c r="C9" i="6"/>
  <c r="B28" i="6"/>
  <c r="C14" i="6"/>
  <c r="C30" i="6"/>
  <c r="B16" i="6"/>
  <c r="A15" i="6"/>
  <c r="B15" i="6"/>
  <c r="C4" i="6"/>
  <c r="C18" i="6"/>
  <c r="B18" i="6"/>
  <c r="A4" i="6"/>
  <c r="B25" i="6"/>
  <c r="A26" i="6"/>
  <c r="B26" i="6"/>
  <c r="C7" i="6"/>
  <c r="B8" i="6"/>
  <c r="A9" i="6"/>
  <c r="A19" i="6"/>
  <c r="B23" i="6"/>
  <c r="EI40" i="2" a="1"/>
  <c r="EI37" i="2"/>
  <c r="A19" i="2"/>
  <c r="B19" i="2"/>
  <c r="B21" i="2" s="1"/>
  <c r="B23" i="2" s="1"/>
  <c r="B25" i="2" s="1"/>
  <c r="B27" i="2" s="1"/>
  <c r="B29" i="2" s="1"/>
  <c r="B31" i="2" s="1"/>
  <c r="B33" i="2" s="1"/>
  <c r="B35" i="2" s="1"/>
  <c r="B37" i="2" s="1"/>
  <c r="B39" i="2" s="1"/>
  <c r="B41" i="2" s="1"/>
  <c r="B43" i="2" s="1"/>
  <c r="B45" i="2" s="1"/>
  <c r="B47" i="2" s="1"/>
  <c r="B49" i="2" s="1"/>
  <c r="B51" i="2" s="1"/>
  <c r="B53" i="2" s="1"/>
  <c r="B55" i="2" s="1"/>
  <c r="B57" i="2" s="1"/>
  <c r="B59" i="2" s="1"/>
  <c r="B61" i="2" s="1"/>
  <c r="B63" i="2" s="1"/>
  <c r="B65" i="2" s="1"/>
  <c r="B67" i="2" s="1"/>
  <c r="G45" i="2"/>
  <c r="EL46" i="2" s="1"/>
  <c r="EL99" i="2" s="1"/>
  <c r="A40" i="3"/>
  <c r="C20" i="3"/>
  <c r="M8" i="2"/>
  <c r="N7" i="2" s="1"/>
  <c r="D12" i="2"/>
  <c r="B12" i="2"/>
  <c r="D7" i="1"/>
  <c r="E7" i="1" s="1"/>
  <c r="D3" i="1"/>
  <c r="E3" i="1" s="1"/>
  <c r="D10" i="1"/>
  <c r="E10" i="1" s="1"/>
  <c r="D6" i="1"/>
  <c r="E6" i="1" s="1"/>
  <c r="D9" i="1"/>
  <c r="E9" i="1" s="1"/>
  <c r="D5" i="1"/>
  <c r="E5" i="1" s="1"/>
  <c r="D8" i="1"/>
  <c r="E8" i="1" s="1"/>
  <c r="D4" i="1"/>
  <c r="E4" i="1" s="1"/>
  <c r="BV13" i="2"/>
  <c r="N42" i="2"/>
  <c r="S38" i="2"/>
  <c r="T38" i="2"/>
  <c r="AF52" i="2"/>
  <c r="AD52" i="2"/>
  <c r="AH52" i="2"/>
  <c r="M52" i="2"/>
  <c r="N52" i="2"/>
  <c r="Q52" i="2"/>
  <c r="W52" i="2"/>
  <c r="P38" i="2"/>
  <c r="N38" i="2"/>
  <c r="L38" i="2"/>
  <c r="O38" i="2"/>
  <c r="AC52" i="2"/>
  <c r="AA52" i="2"/>
  <c r="AI52" i="2"/>
  <c r="K52" i="2"/>
  <c r="AL52" i="2"/>
  <c r="AB52" i="2"/>
  <c r="X52" i="2"/>
  <c r="R38" i="2"/>
  <c r="L34" i="2"/>
  <c r="M34" i="2"/>
  <c r="AJ52" i="2"/>
  <c r="AG52" i="2"/>
  <c r="AM52" i="2"/>
  <c r="AK52" i="2"/>
  <c r="R52" i="2"/>
  <c r="S52" i="2"/>
  <c r="U52" i="2"/>
  <c r="Y52" i="2"/>
  <c r="M38" i="2"/>
  <c r="N34" i="2"/>
  <c r="Q38" i="2"/>
  <c r="AE52" i="2"/>
  <c r="P52" i="2"/>
  <c r="J52" i="2"/>
  <c r="Z52" i="2"/>
  <c r="V52" i="2"/>
  <c r="L52" i="2"/>
  <c r="U38" i="2"/>
  <c r="O34" i="2"/>
  <c r="K34" i="2"/>
  <c r="N46" i="2"/>
  <c r="T52" i="2"/>
  <c r="O52" i="2"/>
  <c r="M46" i="2"/>
  <c r="L46" i="2"/>
  <c r="K46" i="2"/>
  <c r="J46" i="2"/>
  <c r="K42" i="2"/>
  <c r="R26" i="2"/>
  <c r="S26" i="2"/>
  <c r="P26" i="2"/>
  <c r="S30" i="2"/>
  <c r="R30" i="2"/>
  <c r="P30" i="2"/>
  <c r="O30" i="2"/>
  <c r="L30" i="2"/>
  <c r="R24" i="2"/>
  <c r="O26" i="2"/>
  <c r="L26" i="2"/>
  <c r="O24" i="2"/>
  <c r="O36" i="2"/>
  <c r="Q24" i="2"/>
  <c r="P24" i="2"/>
  <c r="S20" i="2"/>
  <c r="R20" i="2"/>
  <c r="Q20" i="2"/>
  <c r="P20" i="2"/>
  <c r="L32" i="2"/>
  <c r="M32" i="2"/>
  <c r="K32" i="2"/>
  <c r="N32" i="2"/>
  <c r="O32" i="2"/>
  <c r="Q30" i="2"/>
  <c r="Q26" i="2"/>
  <c r="N26" i="2"/>
  <c r="N30" i="2"/>
  <c r="M30" i="2"/>
  <c r="K30" i="2"/>
  <c r="J30" i="2"/>
  <c r="M26" i="2"/>
  <c r="K26" i="2"/>
  <c r="J26" i="2"/>
  <c r="J34" i="2"/>
  <c r="M42" i="2"/>
  <c r="J42" i="2"/>
  <c r="J40" i="2"/>
  <c r="K38" i="2"/>
  <c r="J32" i="2"/>
  <c r="J38" i="2"/>
  <c r="M36" i="2"/>
  <c r="N36" i="2"/>
  <c r="J36" i="2"/>
  <c r="K36" i="2"/>
  <c r="L36" i="2"/>
  <c r="N24" i="2"/>
  <c r="O20" i="2"/>
  <c r="N20" i="2"/>
  <c r="M20" i="2"/>
  <c r="K20" i="2"/>
  <c r="L20" i="2"/>
  <c r="M24" i="2"/>
  <c r="M28" i="2"/>
  <c r="N28" i="2"/>
  <c r="K28" i="2"/>
  <c r="L28" i="2"/>
  <c r="L24" i="2"/>
  <c r="K24" i="2"/>
  <c r="J24" i="2"/>
  <c r="J28" i="2"/>
  <c r="J20" i="2"/>
  <c r="K22" i="2" l="1"/>
  <c r="N22" i="2"/>
  <c r="M22" i="2"/>
  <c r="L22" i="2"/>
  <c r="J22" i="2"/>
  <c r="FQ26" i="2" a="1"/>
  <c r="FP26" i="2" s="1" a="1"/>
  <c r="EG99" i="2"/>
  <c r="EH99" i="2"/>
  <c r="EG95" i="2"/>
  <c r="EH95" i="2"/>
  <c r="EH97" i="2"/>
  <c r="EG97" i="2"/>
  <c r="EB29" i="2"/>
  <c r="EB25" i="2"/>
  <c r="EB21" i="2"/>
  <c r="EC21" i="2"/>
  <c r="A16" i="3"/>
  <c r="AX19" i="2"/>
  <c r="AZ19" i="2" s="1"/>
  <c r="BA19" i="2" s="1"/>
  <c r="A21" i="2"/>
  <c r="EC31" i="2"/>
  <c r="EB19" i="2"/>
  <c r="EB31" i="2"/>
  <c r="EB27" i="2"/>
  <c r="EI39" i="2"/>
  <c r="EI42" i="2" a="1"/>
  <c r="EI44" i="2" a="1"/>
  <c r="EB23" i="2"/>
  <c r="EC23" i="2"/>
  <c r="EC19" i="2"/>
  <c r="AN40" i="2"/>
  <c r="AO40" i="2" s="1"/>
  <c r="S26" i="3" s="1"/>
  <c r="CO19" i="2"/>
  <c r="AN36" i="2"/>
  <c r="AO36" i="2" s="1"/>
  <c r="S24" i="3" s="1"/>
  <c r="AN28" i="2"/>
  <c r="AO28" i="2" s="1"/>
  <c r="AN24" i="2"/>
  <c r="AO24" i="2" s="1"/>
  <c r="AN52" i="2"/>
  <c r="BG51" i="2"/>
  <c r="G49" i="2"/>
  <c r="EL50" i="2" s="1"/>
  <c r="EL103" i="2" s="1"/>
  <c r="BG47" i="2"/>
  <c r="BG49" i="2"/>
  <c r="AN46" i="2"/>
  <c r="BG45" i="2"/>
  <c r="AN38" i="2"/>
  <c r="AN42" i="2"/>
  <c r="AO42" i="2" s="1"/>
  <c r="AN34" i="2"/>
  <c r="AO34" i="2" s="1"/>
  <c r="S28" i="3"/>
  <c r="AN22" i="2"/>
  <c r="AN32" i="2"/>
  <c r="AO32" i="2" s="1"/>
  <c r="CQ17" i="2"/>
  <c r="CQ21" i="2"/>
  <c r="CQ29" i="2"/>
  <c r="CQ37" i="2"/>
  <c r="CQ45" i="2"/>
  <c r="CQ57" i="2"/>
  <c r="CQ65" i="2"/>
  <c r="CQ43" i="2"/>
  <c r="CQ23" i="2"/>
  <c r="CQ31" i="2"/>
  <c r="CQ39" i="2"/>
  <c r="CQ47" i="2"/>
  <c r="CQ59" i="2"/>
  <c r="CQ67" i="2"/>
  <c r="CQ27" i="2"/>
  <c r="CQ55" i="2"/>
  <c r="CQ25" i="2"/>
  <c r="CQ33" i="2"/>
  <c r="CQ41" i="2"/>
  <c r="CQ53" i="2"/>
  <c r="CQ61" i="2"/>
  <c r="CQ19" i="2"/>
  <c r="CQ35" i="2"/>
  <c r="CQ63" i="2"/>
  <c r="CQ51" i="2"/>
  <c r="CQ49" i="2"/>
  <c r="AN30" i="2"/>
  <c r="AO30" i="2" s="1"/>
  <c r="AN26" i="2"/>
  <c r="BG43" i="2"/>
  <c r="BG19" i="2"/>
  <c r="BG21" i="2"/>
  <c r="BG29" i="2"/>
  <c r="BG37" i="2"/>
  <c r="BG35" i="2"/>
  <c r="BG23" i="2"/>
  <c r="BG31" i="2"/>
  <c r="BG39" i="2"/>
  <c r="BG27" i="2"/>
  <c r="BG25" i="2"/>
  <c r="BG33" i="2"/>
  <c r="BG41" i="2"/>
  <c r="CR43" i="2"/>
  <c r="F44" i="2" s="1"/>
  <c r="AN20" i="2"/>
  <c r="AO20" i="2" s="1"/>
  <c r="BU4" i="1"/>
  <c r="D4" i="7"/>
  <c r="E4" i="7" s="1"/>
  <c r="C21" i="3"/>
  <c r="BU2" i="1"/>
  <c r="C13" i="2"/>
  <c r="BU8" i="1"/>
  <c r="BU6" i="1"/>
  <c r="BU10" i="1"/>
  <c r="B13" i="2"/>
  <c r="EI97" i="2" l="1"/>
  <c r="DW29" i="2"/>
  <c r="DW45" i="2"/>
  <c r="DW57" i="2"/>
  <c r="DW23" i="2"/>
  <c r="DW55" i="2"/>
  <c r="DT29" i="2"/>
  <c r="DT53" i="2"/>
  <c r="DT23" i="2"/>
  <c r="DT41" i="2"/>
  <c r="DT43" i="2"/>
  <c r="DW33" i="2"/>
  <c r="DW53" i="2"/>
  <c r="DW31" i="2"/>
  <c r="DW27" i="2"/>
  <c r="DW43" i="2"/>
  <c r="DW19" i="2"/>
  <c r="DT37" i="2"/>
  <c r="DT51" i="2"/>
  <c r="DT25" i="2"/>
  <c r="DT59" i="2"/>
  <c r="DW25" i="2"/>
  <c r="DW41" i="2"/>
  <c r="DW61" i="2"/>
  <c r="DW51" i="2"/>
  <c r="DW39" i="2"/>
  <c r="DW67" i="2"/>
  <c r="DT45" i="2"/>
  <c r="DT67" i="2"/>
  <c r="DT33" i="2"/>
  <c r="DT65" i="2"/>
  <c r="DW21" i="2"/>
  <c r="DW37" i="2"/>
  <c r="DW49" i="2"/>
  <c r="DW65" i="2"/>
  <c r="DW35" i="2"/>
  <c r="DW47" i="2"/>
  <c r="DT21" i="2"/>
  <c r="DT61" i="2"/>
  <c r="DT63" i="2"/>
  <c r="DT57" i="2"/>
  <c r="DT19" i="2"/>
  <c r="DW63" i="2"/>
  <c r="DW59" i="2"/>
  <c r="DT27" i="2"/>
  <c r="DT55" i="2"/>
  <c r="DT49" i="2"/>
  <c r="DT35" i="2"/>
  <c r="DT31" i="2"/>
  <c r="DT39" i="2"/>
  <c r="DT47" i="2"/>
  <c r="EI99" i="2"/>
  <c r="EI95" i="2"/>
  <c r="EI41" i="2" s="1"/>
  <c r="EH103" i="2"/>
  <c r="EG103" i="2"/>
  <c r="X16" i="3"/>
  <c r="CO21" i="2"/>
  <c r="AX21" i="2"/>
  <c r="AZ21" i="2" s="1"/>
  <c r="A23" i="2"/>
  <c r="AX23" i="2" s="1"/>
  <c r="AZ23" i="2" s="1"/>
  <c r="A17" i="3"/>
  <c r="EE19" i="2"/>
  <c r="ED23" i="2"/>
  <c r="ED27" i="2"/>
  <c r="ED31" i="2"/>
  <c r="ED20" i="2"/>
  <c r="ED26" i="2"/>
  <c r="ED32" i="2"/>
  <c r="ED38" i="2"/>
  <c r="ED44" i="2"/>
  <c r="ED50" i="2"/>
  <c r="ED56" i="2"/>
  <c r="EE20" i="2"/>
  <c r="EE26" i="2"/>
  <c r="EE32" i="2"/>
  <c r="EE38" i="2"/>
  <c r="EE44" i="2"/>
  <c r="EE50" i="2"/>
  <c r="EE56" i="2"/>
  <c r="ED35" i="2"/>
  <c r="ED53" i="2"/>
  <c r="EE29" i="2"/>
  <c r="EE47" i="2"/>
  <c r="ED24" i="2"/>
  <c r="ED36" i="2"/>
  <c r="ED48" i="2"/>
  <c r="EE24" i="2"/>
  <c r="EE36" i="2"/>
  <c r="EE48" i="2"/>
  <c r="ED25" i="2"/>
  <c r="ED43" i="2"/>
  <c r="EE25" i="2"/>
  <c r="EE37" i="2"/>
  <c r="EE55" i="2"/>
  <c r="EE41" i="2"/>
  <c r="EE49" i="2"/>
  <c r="ED21" i="2"/>
  <c r="ED33" i="2"/>
  <c r="ED39" i="2"/>
  <c r="ED45" i="2"/>
  <c r="ED51" i="2"/>
  <c r="ED57" i="2"/>
  <c r="EE21" i="2"/>
  <c r="EE27" i="2"/>
  <c r="EE33" i="2"/>
  <c r="EE39" i="2"/>
  <c r="EE45" i="2"/>
  <c r="EE57" i="2"/>
  <c r="ED29" i="2"/>
  <c r="ED41" i="2"/>
  <c r="ED47" i="2"/>
  <c r="EE23" i="2"/>
  <c r="EE35" i="2"/>
  <c r="EE53" i="2"/>
  <c r="ED30" i="2"/>
  <c r="ED42" i="2"/>
  <c r="ED54" i="2"/>
  <c r="EE30" i="2"/>
  <c r="EE42" i="2"/>
  <c r="EE54" i="2"/>
  <c r="ED37" i="2"/>
  <c r="ED55" i="2"/>
  <c r="EE43" i="2"/>
  <c r="EE51" i="2"/>
  <c r="ED22" i="2"/>
  <c r="ED28" i="2"/>
  <c r="ED34" i="2"/>
  <c r="ED40" i="2"/>
  <c r="ED46" i="2"/>
  <c r="ED52" i="2"/>
  <c r="ED58" i="2"/>
  <c r="EE22" i="2"/>
  <c r="EE28" i="2"/>
  <c r="EE34" i="2"/>
  <c r="EE40" i="2"/>
  <c r="EE46" i="2"/>
  <c r="EE52" i="2"/>
  <c r="EE58" i="2"/>
  <c r="ED49" i="2"/>
  <c r="EE31" i="2"/>
  <c r="ED19" i="2"/>
  <c r="EI43" i="2"/>
  <c r="EI46" i="2" a="1"/>
  <c r="AO46" i="2"/>
  <c r="S29" i="3" s="1"/>
  <c r="AO38" i="2"/>
  <c r="S25" i="3" s="1"/>
  <c r="S22" i="3"/>
  <c r="AO26" i="2"/>
  <c r="S19" i="3" s="1"/>
  <c r="AO22" i="2"/>
  <c r="S17" i="3" s="1"/>
  <c r="S20" i="3"/>
  <c r="S21" i="3"/>
  <c r="G51" i="2"/>
  <c r="HD23" i="2"/>
  <c r="CR23" i="2"/>
  <c r="F24" i="2" s="1"/>
  <c r="S18" i="3"/>
  <c r="DU21" i="2"/>
  <c r="DU53" i="2"/>
  <c r="DU59" i="2"/>
  <c r="DU47" i="2"/>
  <c r="DU25" i="2"/>
  <c r="DU57" i="2"/>
  <c r="DV21" i="2"/>
  <c r="DV37" i="2"/>
  <c r="DV53" i="2"/>
  <c r="DV23" i="2"/>
  <c r="DV39" i="2"/>
  <c r="DV55" i="2"/>
  <c r="DS37" i="2"/>
  <c r="DS33" i="2"/>
  <c r="DS43" i="2"/>
  <c r="DS39" i="2"/>
  <c r="DS25" i="2"/>
  <c r="DS51" i="2"/>
  <c r="DU29" i="2"/>
  <c r="DU61" i="2"/>
  <c r="DU23" i="2"/>
  <c r="DU55" i="2"/>
  <c r="DU33" i="2"/>
  <c r="DU65" i="2"/>
  <c r="DV25" i="2"/>
  <c r="DV41" i="2"/>
  <c r="DV57" i="2"/>
  <c r="DV27" i="2"/>
  <c r="DV43" i="2"/>
  <c r="DV59" i="2"/>
  <c r="DV19" i="2"/>
  <c r="DS45" i="2"/>
  <c r="DS41" i="2"/>
  <c r="DS67" i="2"/>
  <c r="DS47" i="2"/>
  <c r="DS57" i="2"/>
  <c r="DS59" i="2"/>
  <c r="DS19" i="2"/>
  <c r="DU37" i="2"/>
  <c r="DU35" i="2"/>
  <c r="DU31" i="2"/>
  <c r="DU63" i="2"/>
  <c r="DU41" i="2"/>
  <c r="DU27" i="2"/>
  <c r="DV29" i="2"/>
  <c r="DV45" i="2"/>
  <c r="DV61" i="2"/>
  <c r="DV31" i="2"/>
  <c r="DV47" i="2"/>
  <c r="DV63" i="2"/>
  <c r="DS21" i="2"/>
  <c r="DS53" i="2"/>
  <c r="DS49" i="2"/>
  <c r="DS23" i="2"/>
  <c r="DS55" i="2"/>
  <c r="DS27" i="2"/>
  <c r="DU19" i="2"/>
  <c r="DU45" i="2"/>
  <c r="DU43" i="2"/>
  <c r="DU39" i="2"/>
  <c r="DU51" i="2"/>
  <c r="DU49" i="2"/>
  <c r="DU67" i="2"/>
  <c r="DV33" i="2"/>
  <c r="DV49" i="2"/>
  <c r="DV65" i="2"/>
  <c r="DV35" i="2"/>
  <c r="DV51" i="2"/>
  <c r="DV67" i="2"/>
  <c r="DS29" i="2"/>
  <c r="DS61" i="2"/>
  <c r="DS65" i="2"/>
  <c r="DS31" i="2"/>
  <c r="DS63" i="2"/>
  <c r="DS35" i="2"/>
  <c r="CO42" i="2"/>
  <c r="S27" i="3"/>
  <c r="S23" i="3"/>
  <c r="CO34" i="2"/>
  <c r="CO20" i="2"/>
  <c r="CO44" i="2"/>
  <c r="CO30" i="2"/>
  <c r="CO40" i="2"/>
  <c r="CO36" i="2"/>
  <c r="CO28" i="2"/>
  <c r="C22" i="3"/>
  <c r="DJ13" i="2" l="1" a="1"/>
  <c r="DJ13" i="2" s="1"/>
  <c r="DJ12" i="2" s="1"/>
  <c r="DM13" i="2" a="1"/>
  <c r="DM13" i="2" s="1"/>
  <c r="DM12" i="2" s="1"/>
  <c r="EI103" i="2"/>
  <c r="G76" i="2"/>
  <c r="I76" i="2" s="1"/>
  <c r="EL52" i="2"/>
  <c r="EL105" i="2" s="1"/>
  <c r="A18" i="3"/>
  <c r="BA21" i="2"/>
  <c r="X17" i="3" s="1"/>
  <c r="BA23" i="2"/>
  <c r="X18" i="3" s="1"/>
  <c r="A25" i="2"/>
  <c r="AX25" i="2" s="1"/>
  <c r="AZ25" i="2" s="1"/>
  <c r="CO23" i="2"/>
  <c r="DW13" i="2" a="1"/>
  <c r="DW12" i="2" s="1"/>
  <c r="DV13" i="2" a="1"/>
  <c r="EI45" i="2"/>
  <c r="EI50" i="2" a="1"/>
  <c r="DL13" i="2" a="1"/>
  <c r="CO26" i="2"/>
  <c r="J81" i="2"/>
  <c r="K81" i="2" s="1"/>
  <c r="G81" i="2"/>
  <c r="H81" i="2" s="1"/>
  <c r="P81" i="2"/>
  <c r="Q81" i="2" s="1"/>
  <c r="M81" i="2"/>
  <c r="N81" i="2" s="1"/>
  <c r="Y81" i="2"/>
  <c r="Z81" i="2" s="1"/>
  <c r="S81" i="2"/>
  <c r="T81" i="2" s="1"/>
  <c r="V81" i="2"/>
  <c r="W81" i="2" s="1"/>
  <c r="AK81" i="2"/>
  <c r="AL81" i="2" s="1"/>
  <c r="AB81" i="2"/>
  <c r="AC81" i="2" s="1"/>
  <c r="AE81" i="2"/>
  <c r="AF81" i="2" s="1"/>
  <c r="AH81" i="2"/>
  <c r="AI81" i="2" s="1"/>
  <c r="CO22" i="2"/>
  <c r="CO32" i="2"/>
  <c r="CO38" i="2"/>
  <c r="O76" i="2"/>
  <c r="Q76" i="2" s="1"/>
  <c r="K76" i="2"/>
  <c r="M76" i="2" s="1"/>
  <c r="AM76" i="2"/>
  <c r="AO76" i="2" s="1"/>
  <c r="S76" i="2"/>
  <c r="U76" i="2" s="1"/>
  <c r="W76" i="2"/>
  <c r="Y76" i="2" s="1"/>
  <c r="AI76" i="2"/>
  <c r="AK76" i="2" s="1"/>
  <c r="AE76" i="2"/>
  <c r="AG76" i="2" s="1"/>
  <c r="AA76" i="2"/>
  <c r="AC76" i="2" s="1"/>
  <c r="GZ23" i="2"/>
  <c r="HA23" i="2"/>
  <c r="GX23" i="2"/>
  <c r="GY23" i="2"/>
  <c r="GW23" i="2"/>
  <c r="HB23" i="2"/>
  <c r="DK13" i="2" a="1"/>
  <c r="DK13" i="2" s="1"/>
  <c r="DK12" i="2" s="1"/>
  <c r="DI13" i="2" a="1"/>
  <c r="DI13" i="2" s="1"/>
  <c r="DI12" i="2" s="1"/>
  <c r="CO24" i="2"/>
  <c r="CO46" i="2"/>
  <c r="CR45" i="2"/>
  <c r="F46" i="2" s="1"/>
  <c r="C23" i="3"/>
  <c r="EG105" i="2" l="1"/>
  <c r="EH105" i="2"/>
  <c r="BA25" i="2"/>
  <c r="X19" i="3" s="1"/>
  <c r="A19" i="3"/>
  <c r="A27" i="2"/>
  <c r="AX27" i="2" s="1"/>
  <c r="AZ27" i="2" s="1"/>
  <c r="CO25" i="2"/>
  <c r="EI49" i="2"/>
  <c r="EI52" i="2" a="1"/>
  <c r="EI24" i="2" a="1"/>
  <c r="C24" i="3"/>
  <c r="EI105" i="2" l="1"/>
  <c r="EI51" i="2" s="1"/>
  <c r="BA27" i="2"/>
  <c r="X20" i="3" s="1"/>
  <c r="A20" i="3"/>
  <c r="CO27" i="2"/>
  <c r="A29" i="2"/>
  <c r="EI23" i="2"/>
  <c r="CR47" i="2"/>
  <c r="F48" i="2" s="1"/>
  <c r="C25" i="3"/>
  <c r="AX29" i="2" l="1"/>
  <c r="AZ29" i="2" s="1"/>
  <c r="BA29" i="2" s="1"/>
  <c r="X21" i="3" s="1"/>
  <c r="A21" i="3"/>
  <c r="CO29" i="2"/>
  <c r="A31" i="2"/>
  <c r="CO48" i="2"/>
  <c r="C26" i="3"/>
  <c r="C27" i="3"/>
  <c r="AX31" i="2" l="1"/>
  <c r="AZ31" i="2" s="1"/>
  <c r="BA31" i="2" s="1"/>
  <c r="A22" i="3"/>
  <c r="CO31" i="2"/>
  <c r="A33" i="2"/>
  <c r="CR49" i="2"/>
  <c r="F50" i="2" s="1"/>
  <c r="C28" i="3"/>
  <c r="AX33" i="2" l="1"/>
  <c r="AZ33" i="2" s="1"/>
  <c r="BA33" i="2" s="1"/>
  <c r="X23" i="3" s="1"/>
  <c r="A23" i="3"/>
  <c r="X22" i="3"/>
  <c r="CO33" i="2"/>
  <c r="A35" i="2"/>
  <c r="CO50" i="2"/>
  <c r="A26" i="3"/>
  <c r="C29" i="3"/>
  <c r="AX35" i="2" l="1"/>
  <c r="AZ35" i="2" s="1"/>
  <c r="BA35" i="2" s="1"/>
  <c r="A24" i="3"/>
  <c r="CO35" i="2"/>
  <c r="A37" i="2"/>
  <c r="CR51" i="2"/>
  <c r="A27" i="3"/>
  <c r="C30" i="3"/>
  <c r="AX37" i="2" l="1"/>
  <c r="AZ37" i="2" s="1"/>
  <c r="BA37" i="2" s="1"/>
  <c r="X25" i="3" s="1"/>
  <c r="A25" i="3"/>
  <c r="X24" i="3"/>
  <c r="CO37" i="2"/>
  <c r="A39" i="2"/>
  <c r="F52" i="2"/>
  <c r="A28" i="3"/>
  <c r="C31" i="3"/>
  <c r="BA17" i="2" l="1"/>
  <c r="CO39" i="2"/>
  <c r="A41" i="2"/>
  <c r="A29" i="3"/>
  <c r="CR53" i="2"/>
  <c r="F54" i="2" s="1"/>
  <c r="C33" i="3"/>
  <c r="C32" i="3"/>
  <c r="A33" i="3"/>
  <c r="CO41" i="2" l="1"/>
  <c r="A43" i="2"/>
  <c r="A30" i="3"/>
  <c r="CS54" i="2"/>
  <c r="CO54" i="2"/>
  <c r="A34" i="3"/>
  <c r="CO43" i="2" l="1"/>
  <c r="A45" i="2"/>
  <c r="A31" i="3"/>
  <c r="CR55" i="2"/>
  <c r="F56" i="2" s="1"/>
  <c r="C34" i="3"/>
  <c r="A35" i="3"/>
  <c r="CO45" i="2" l="1"/>
  <c r="A47" i="2"/>
  <c r="A32" i="3"/>
  <c r="CS56" i="2"/>
  <c r="CO56" i="2"/>
  <c r="C35" i="3"/>
  <c r="C36" i="3"/>
  <c r="A36" i="3"/>
  <c r="FQ30" i="2" l="1" a="1"/>
  <c r="FP30" i="2" s="1" a="1"/>
  <c r="A49" i="2"/>
  <c r="CO47" i="2"/>
  <c r="CR57" i="2"/>
  <c r="F58" i="2" s="1"/>
  <c r="C37" i="3"/>
  <c r="A37" i="3"/>
  <c r="A51" i="2" l="1"/>
  <c r="CO49" i="2"/>
  <c r="GJ59" i="2"/>
  <c r="FW59" i="2"/>
  <c r="GF59" i="2"/>
  <c r="FX59" i="2"/>
  <c r="GG59" i="2"/>
  <c r="GC59" i="2"/>
  <c r="GI59" i="2"/>
  <c r="FU59" i="2"/>
  <c r="GA59" i="2"/>
  <c r="GD59" i="2"/>
  <c r="GH59" i="2"/>
  <c r="FS59" i="2"/>
  <c r="FV59" i="2"/>
  <c r="GK59" i="2"/>
  <c r="FZ59" i="2"/>
  <c r="FY59" i="2"/>
  <c r="GB59" i="2"/>
  <c r="FT59" i="2"/>
  <c r="GE59" i="2"/>
  <c r="CO58" i="2"/>
  <c r="C38" i="3"/>
  <c r="A38" i="3"/>
  <c r="CO51" i="2" l="1"/>
  <c r="A53" i="2"/>
  <c r="FR59" i="2"/>
  <c r="FR60" i="2" s="1"/>
  <c r="CR59" i="2"/>
  <c r="F60" i="2" s="1"/>
  <c r="C39" i="3"/>
  <c r="AA81" i="2"/>
  <c r="A39" i="3"/>
  <c r="CO53" i="2" l="1"/>
  <c r="A55" i="2"/>
  <c r="GW59" i="2"/>
  <c r="HA59" i="2"/>
  <c r="GZ59" i="2"/>
  <c r="GX59" i="2"/>
  <c r="HB59" i="2"/>
  <c r="GY59" i="2"/>
  <c r="FU61" i="2"/>
  <c r="GF61" i="2"/>
  <c r="GC61" i="2"/>
  <c r="FT61" i="2"/>
  <c r="GD61" i="2"/>
  <c r="GI61" i="2"/>
  <c r="GH61" i="2"/>
  <c r="FW61" i="2"/>
  <c r="GJ61" i="2"/>
  <c r="GK61" i="2"/>
  <c r="GA61" i="2"/>
  <c r="FZ61" i="2"/>
  <c r="FS61" i="2"/>
  <c r="GG61" i="2"/>
  <c r="FX61" i="2"/>
  <c r="GB61" i="2"/>
  <c r="FV61" i="2"/>
  <c r="FY61" i="2"/>
  <c r="GE61" i="2"/>
  <c r="GH60" i="2"/>
  <c r="FS60" i="2"/>
  <c r="CO60" i="2"/>
  <c r="GG60" i="2"/>
  <c r="GI60" i="2"/>
  <c r="FU60" i="2"/>
  <c r="FZ60" i="2"/>
  <c r="FY60" i="2"/>
  <c r="GE60" i="2"/>
  <c r="FV60" i="2"/>
  <c r="FX60" i="2"/>
  <c r="GA60" i="2"/>
  <c r="GC60" i="2"/>
  <c r="GK60" i="2"/>
  <c r="FW60" i="2"/>
  <c r="GJ60" i="2"/>
  <c r="FT60" i="2"/>
  <c r="GD60" i="2"/>
  <c r="GB60" i="2"/>
  <c r="GF60" i="2"/>
  <c r="AD76" i="2"/>
  <c r="Z76" i="2"/>
  <c r="AH76" i="2"/>
  <c r="AL76" i="2"/>
  <c r="L81" i="2"/>
  <c r="R81" i="2"/>
  <c r="X81" i="2"/>
  <c r="U81" i="2"/>
  <c r="AD81" i="2"/>
  <c r="O81" i="2"/>
  <c r="N76" i="2"/>
  <c r="R76" i="2"/>
  <c r="V76" i="2"/>
  <c r="C40" i="3"/>
  <c r="CO55" i="2" l="1"/>
  <c r="A57" i="2"/>
  <c r="FQ60" i="2" a="1"/>
  <c r="FR61" i="2"/>
  <c r="FR62" i="2" s="1"/>
  <c r="CR61" i="2"/>
  <c r="F62" i="2" s="1"/>
  <c r="H76" i="2"/>
  <c r="E76" i="2"/>
  <c r="X76" i="2"/>
  <c r="AF76" i="2"/>
  <c r="AJ76" i="2"/>
  <c r="AN76" i="2"/>
  <c r="AB76" i="2"/>
  <c r="E81" i="2"/>
  <c r="L76" i="2"/>
  <c r="P76" i="2"/>
  <c r="T76" i="2"/>
  <c r="CO57" i="2" l="1"/>
  <c r="A59" i="2"/>
  <c r="FT62" i="2"/>
  <c r="GD62" i="2"/>
  <c r="FS62" i="2"/>
  <c r="GA62" i="2"/>
  <c r="GC62" i="2"/>
  <c r="FV62" i="2"/>
  <c r="FY62" i="2"/>
  <c r="GF62" i="2"/>
  <c r="GJ62" i="2"/>
  <c r="GK62" i="2"/>
  <c r="GE62" i="2"/>
  <c r="GB62" i="2"/>
  <c r="FX62" i="2"/>
  <c r="GG62" i="2"/>
  <c r="GI62" i="2"/>
  <c r="FU62" i="2"/>
  <c r="FZ62" i="2"/>
  <c r="FW62" i="2"/>
  <c r="GH62" i="2"/>
  <c r="GY61" i="2"/>
  <c r="GW61" i="2"/>
  <c r="HB61" i="2"/>
  <c r="GZ61" i="2"/>
  <c r="HA61" i="2"/>
  <c r="GX61" i="2"/>
  <c r="FZ63" i="2"/>
  <c r="GA63" i="2"/>
  <c r="GK63" i="2"/>
  <c r="GG63" i="2"/>
  <c r="FS63" i="2"/>
  <c r="GJ63" i="2"/>
  <c r="FU63" i="2"/>
  <c r="GB63" i="2"/>
  <c r="FX63" i="2"/>
  <c r="FY63" i="2"/>
  <c r="FV63" i="2"/>
  <c r="FW63" i="2"/>
  <c r="GH63" i="2"/>
  <c r="GI63" i="2"/>
  <c r="GD63" i="2"/>
  <c r="FT63" i="2"/>
  <c r="GC63" i="2"/>
  <c r="GF63" i="2"/>
  <c r="GE63" i="2"/>
  <c r="CO62" i="2"/>
  <c r="CR18" i="2"/>
  <c r="CO59" i="2" l="1"/>
  <c r="A61" i="2"/>
  <c r="FQ62" i="2" a="1"/>
  <c r="FR63" i="2"/>
  <c r="FR64" i="2" s="1"/>
  <c r="CR63" i="2"/>
  <c r="F64" i="2" s="1"/>
  <c r="GG64" i="2"/>
  <c r="FT64" i="2"/>
  <c r="FW64" i="2"/>
  <c r="GJ64" i="2"/>
  <c r="GA64" i="2"/>
  <c r="GF64" i="2"/>
  <c r="GD64" i="2"/>
  <c r="GH64" i="2"/>
  <c r="GK64" i="2" l="1"/>
  <c r="FU64" i="2"/>
  <c r="FZ64" i="2"/>
  <c r="GC64" i="2"/>
  <c r="GE64" i="2"/>
  <c r="FS64" i="2"/>
  <c r="FX64" i="2"/>
  <c r="CO61" i="2"/>
  <c r="A63" i="2"/>
  <c r="FV64" i="2"/>
  <c r="GB64" i="2"/>
  <c r="FY64" i="2"/>
  <c r="GI64" i="2"/>
  <c r="GW63" i="2"/>
  <c r="HA63" i="2"/>
  <c r="GY63" i="2"/>
  <c r="GX63" i="2"/>
  <c r="HB63" i="2"/>
  <c r="GZ63" i="2"/>
  <c r="GJ65" i="2"/>
  <c r="GK65" i="2"/>
  <c r="FX65" i="2"/>
  <c r="FY65" i="2"/>
  <c r="GB65" i="2"/>
  <c r="FU65" i="2"/>
  <c r="FV65" i="2"/>
  <c r="FZ65" i="2"/>
  <c r="FW65" i="2"/>
  <c r="GI65" i="2"/>
  <c r="GH65" i="2"/>
  <c r="GD65" i="2"/>
  <c r="GC65" i="2"/>
  <c r="GG65" i="2"/>
  <c r="GA65" i="2"/>
  <c r="FT65" i="2"/>
  <c r="GF65" i="2"/>
  <c r="FS65" i="2"/>
  <c r="GE65" i="2"/>
  <c r="CO64" i="2"/>
  <c r="CO63" i="2" l="1"/>
  <c r="A65" i="2"/>
  <c r="FQ64" i="2" a="1"/>
  <c r="FR65" i="2"/>
  <c r="FR66" i="2" s="1"/>
  <c r="CR65" i="2"/>
  <c r="F66" i="2" s="1"/>
  <c r="J76" i="2"/>
  <c r="S16" i="3"/>
  <c r="I81" i="2"/>
  <c r="CO65" i="2" l="1"/>
  <c r="A67" i="2"/>
  <c r="CO67" i="2" s="1"/>
  <c r="FU66" i="2"/>
  <c r="GH66" i="2"/>
  <c r="GJ66" i="2"/>
  <c r="FV66" i="2"/>
  <c r="GB66" i="2"/>
  <c r="FX66" i="2"/>
  <c r="GG66" i="2"/>
  <c r="FW66" i="2"/>
  <c r="FZ66" i="2"/>
  <c r="FY66" i="2"/>
  <c r="FS66" i="2"/>
  <c r="GC66" i="2"/>
  <c r="FT66" i="2"/>
  <c r="GK66" i="2"/>
  <c r="GI66" i="2"/>
  <c r="GA66" i="2"/>
  <c r="GF66" i="2"/>
  <c r="GD66" i="2"/>
  <c r="GE66" i="2"/>
  <c r="GY65" i="2"/>
  <c r="HA65" i="2"/>
  <c r="GX65" i="2"/>
  <c r="GZ65" i="2"/>
  <c r="GW65" i="2"/>
  <c r="HB65" i="2"/>
  <c r="FV67" i="2"/>
  <c r="FY67" i="2"/>
  <c r="GC67" i="2"/>
  <c r="FX67" i="2"/>
  <c r="GI67" i="2"/>
  <c r="FU67" i="2"/>
  <c r="GF67" i="2"/>
  <c r="GH67" i="2"/>
  <c r="GB67" i="2"/>
  <c r="GG67" i="2"/>
  <c r="FZ67" i="2"/>
  <c r="GA67" i="2"/>
  <c r="GD67" i="2"/>
  <c r="GJ67" i="2"/>
  <c r="FS67" i="2"/>
  <c r="FW67" i="2"/>
  <c r="GE67" i="2"/>
  <c r="FT67" i="2"/>
  <c r="GK67" i="2"/>
  <c r="CO66" i="2"/>
  <c r="FQ66" i="2" l="1" a="1"/>
  <c r="FR67" i="2"/>
  <c r="FR68" i="2" s="1"/>
  <c r="CR67" i="2"/>
  <c r="F68" i="2" s="1"/>
  <c r="O13" i="2" l="1"/>
  <c r="O14" i="2" s="1"/>
  <c r="M13" i="2"/>
  <c r="M14" i="2" s="1"/>
  <c r="Q13" i="2"/>
  <c r="Q14" i="2" s="1"/>
  <c r="P13" i="2"/>
  <c r="P14" i="2" s="1"/>
  <c r="K13" i="2"/>
  <c r="K14" i="2" s="1"/>
  <c r="N13" i="2"/>
  <c r="N14" i="2" s="1"/>
  <c r="L13" i="2"/>
  <c r="L14" i="2" s="1"/>
  <c r="J13" i="2"/>
  <c r="J14" i="2" s="1"/>
  <c r="H13" i="2"/>
  <c r="H14" i="2" s="1"/>
  <c r="I13" i="2"/>
  <c r="I14" i="2" s="1"/>
  <c r="GG68" i="2"/>
  <c r="FY68" i="2"/>
  <c r="GB68" i="2"/>
  <c r="GF68" i="2"/>
  <c r="FS68" i="2"/>
  <c r="GC68" i="2"/>
  <c r="GH68" i="2"/>
  <c r="GA68" i="2"/>
  <c r="GJ68" i="2"/>
  <c r="GE68" i="2"/>
  <c r="FZ68" i="2"/>
  <c r="FV68" i="2"/>
  <c r="FX68" i="2"/>
  <c r="FT68" i="2"/>
  <c r="FU68" i="2"/>
  <c r="GK68" i="2"/>
  <c r="GI68" i="2"/>
  <c r="GD68" i="2"/>
  <c r="FW68" i="2"/>
  <c r="GW67" i="2"/>
  <c r="GW17" i="2" s="1"/>
  <c r="HA67" i="2"/>
  <c r="HA17" i="2" s="1"/>
  <c r="W13" i="2" s="1"/>
  <c r="GZ67" i="2"/>
  <c r="GZ17" i="2" s="1"/>
  <c r="V13" i="2" s="1"/>
  <c r="GX67" i="2"/>
  <c r="GX17" i="2" s="1"/>
  <c r="T13" i="2" s="1"/>
  <c r="EI81" i="2" s="1"/>
  <c r="EI27" i="2" s="1"/>
  <c r="HB67" i="2"/>
  <c r="GY67" i="2"/>
  <c r="G13" i="2"/>
  <c r="CO68" i="2"/>
  <c r="EI13" i="2" l="1"/>
  <c r="EI15" i="2" a="1"/>
  <c r="R14" i="2"/>
  <c r="S13" i="2"/>
  <c r="GY17" i="2"/>
  <c r="U13" i="2" s="1"/>
  <c r="FQ68" i="2" a="1"/>
  <c r="HB17" i="2"/>
  <c r="X13" i="2" s="1"/>
  <c r="GY15" i="2" l="1"/>
  <c r="FQ34" i="2" l="1" a="1"/>
  <c r="FP34" i="2" s="1" a="1"/>
  <c r="DD13" i="2" a="1"/>
  <c r="DD13" i="2" s="1"/>
  <c r="DD14" i="2" a="1"/>
  <c r="DD14" i="2" s="1"/>
  <c r="DD12" i="2" a="1"/>
  <c r="DD12" i="2" s="1"/>
  <c r="DE14" i="2" l="1"/>
  <c r="DE13" i="2"/>
  <c r="DN15" i="2"/>
  <c r="DE12" i="2"/>
  <c r="F41" i="3" l="1" a="1"/>
  <c r="DO15" i="2"/>
  <c r="AM81" i="2" l="1"/>
  <c r="AJ81" i="2"/>
  <c r="CO52" i="2"/>
  <c r="AP76" i="2"/>
  <c r="AG81" i="2"/>
  <c r="AO13" i="2"/>
  <c r="S41" i="3" s="1"/>
  <c r="S32" i="3"/>
  <c r="DV12" i="2"/>
  <c r="FQ22" i="2" a="1"/>
  <c r="FP22" i="2" s="1" a="1"/>
  <c r="FQ15" i="2" l="1"/>
  <c r="FQ16" i="2" a="1"/>
  <c r="F41" i="3"/>
  <c r="FQ170" i="2"/>
  <c r="FP170" i="2"/>
  <c r="GU169" i="2"/>
  <c r="GT169" i="2"/>
  <c r="GS169" i="2"/>
  <c r="GR169" i="2"/>
  <c r="GQ169" i="2"/>
  <c r="GP169" i="2"/>
  <c r="GO169" i="2"/>
  <c r="GN169" i="2"/>
  <c r="GM169" i="2"/>
  <c r="GL169" i="2"/>
  <c r="GK169" i="2"/>
  <c r="GJ169" i="2"/>
  <c r="GI169" i="2"/>
  <c r="GH169" i="2"/>
  <c r="GG169" i="2"/>
  <c r="GF169" i="2"/>
  <c r="GE169" i="2"/>
  <c r="GD169" i="2"/>
  <c r="GC169" i="2"/>
  <c r="GB169" i="2"/>
  <c r="GA169" i="2"/>
  <c r="FZ169" i="2"/>
  <c r="FY169" i="2"/>
  <c r="FX169" i="2"/>
  <c r="FW169" i="2"/>
  <c r="FV169" i="2"/>
  <c r="FU169" i="2"/>
  <c r="FT169" i="2"/>
  <c r="FS169" i="2"/>
  <c r="FR169" i="2"/>
  <c r="GU168" i="2"/>
  <c r="GT168" i="2"/>
  <c r="GS168" i="2"/>
  <c r="GR168" i="2"/>
  <c r="GQ168" i="2"/>
  <c r="GP168" i="2"/>
  <c r="GO168" i="2"/>
  <c r="GN168" i="2"/>
  <c r="GM168" i="2"/>
  <c r="GL168" i="2"/>
  <c r="GK168" i="2"/>
  <c r="GJ168" i="2"/>
  <c r="GI168" i="2"/>
  <c r="GH168" i="2"/>
  <c r="GG168" i="2"/>
  <c r="GF168" i="2"/>
  <c r="GE168" i="2"/>
  <c r="GD168" i="2"/>
  <c r="GC168" i="2"/>
  <c r="GB168" i="2"/>
  <c r="GA168" i="2"/>
  <c r="FZ168" i="2"/>
  <c r="FY168" i="2"/>
  <c r="FX168" i="2"/>
  <c r="FW168" i="2"/>
  <c r="FV168" i="2"/>
  <c r="FU168" i="2"/>
  <c r="FT168" i="2"/>
  <c r="FS168" i="2"/>
  <c r="FR168" i="2"/>
  <c r="FQ168" i="2"/>
  <c r="FQ165" i="2"/>
  <c r="FP165" i="2"/>
  <c r="GU164" i="2"/>
  <c r="GT164" i="2"/>
  <c r="GS164" i="2"/>
  <c r="GR164" i="2"/>
  <c r="GQ164" i="2"/>
  <c r="GP164" i="2"/>
  <c r="GO164" i="2"/>
  <c r="GN164" i="2"/>
  <c r="GM164" i="2"/>
  <c r="GL164" i="2"/>
  <c r="GK164" i="2"/>
  <c r="GJ164" i="2"/>
  <c r="GI164" i="2"/>
  <c r="GH164" i="2"/>
  <c r="GG164" i="2"/>
  <c r="GF164" i="2"/>
  <c r="GE164" i="2"/>
  <c r="GD164" i="2"/>
  <c r="GC164" i="2"/>
  <c r="GB164" i="2"/>
  <c r="GA164" i="2"/>
  <c r="FZ164" i="2"/>
  <c r="FY164" i="2"/>
  <c r="FX164" i="2"/>
  <c r="FW164" i="2"/>
  <c r="FV164" i="2"/>
  <c r="FU164" i="2"/>
  <c r="FT164" i="2"/>
  <c r="FS164" i="2"/>
  <c r="FR164" i="2"/>
  <c r="GU163" i="2"/>
  <c r="GT163" i="2"/>
  <c r="GS163" i="2"/>
  <c r="GR163" i="2"/>
  <c r="GQ163" i="2"/>
  <c r="GP163" i="2"/>
  <c r="GO163" i="2"/>
  <c r="GN163" i="2"/>
  <c r="GM163" i="2"/>
  <c r="GL163" i="2"/>
  <c r="GK163" i="2"/>
  <c r="GJ163" i="2"/>
  <c r="GI163" i="2"/>
  <c r="GH163" i="2"/>
  <c r="GG163" i="2"/>
  <c r="GF163" i="2"/>
  <c r="GE163" i="2"/>
  <c r="GD163" i="2"/>
  <c r="GC163" i="2"/>
  <c r="GB163" i="2"/>
  <c r="GA163" i="2"/>
  <c r="FZ163" i="2"/>
  <c r="FY163" i="2"/>
  <c r="FX163" i="2"/>
  <c r="FW163" i="2"/>
  <c r="FV163" i="2"/>
  <c r="FU163" i="2"/>
  <c r="FT163" i="2"/>
  <c r="FS163" i="2"/>
  <c r="FR163" i="2"/>
  <c r="FQ163" i="2"/>
  <c r="FQ160" i="2"/>
  <c r="FP160" i="2"/>
  <c r="GU159" i="2"/>
  <c r="GT159" i="2"/>
  <c r="GS159" i="2"/>
  <c r="GR159" i="2"/>
  <c r="GQ159" i="2"/>
  <c r="GP159" i="2"/>
  <c r="GO159" i="2"/>
  <c r="GN159" i="2"/>
  <c r="GM159" i="2"/>
  <c r="GL159" i="2"/>
  <c r="GK159" i="2"/>
  <c r="GJ159" i="2"/>
  <c r="GI159" i="2"/>
  <c r="GH159" i="2"/>
  <c r="GG159" i="2"/>
  <c r="GF159" i="2"/>
  <c r="GE159" i="2"/>
  <c r="GD159" i="2"/>
  <c r="GC159" i="2"/>
  <c r="GB159" i="2"/>
  <c r="GA159" i="2"/>
  <c r="FZ159" i="2"/>
  <c r="FY159" i="2"/>
  <c r="FX159" i="2"/>
  <c r="FW159" i="2"/>
  <c r="FV159" i="2"/>
  <c r="FU159" i="2"/>
  <c r="FT159" i="2"/>
  <c r="FS159" i="2"/>
  <c r="FR159" i="2"/>
  <c r="GU158" i="2"/>
  <c r="GT158" i="2"/>
  <c r="GS158" i="2"/>
  <c r="GR158" i="2"/>
  <c r="GQ158" i="2"/>
  <c r="GP158" i="2"/>
  <c r="GO158" i="2"/>
  <c r="GN158" i="2"/>
  <c r="GM158" i="2"/>
  <c r="GL158" i="2"/>
  <c r="GK158" i="2"/>
  <c r="GJ158" i="2"/>
  <c r="GI158" i="2"/>
  <c r="GH158" i="2"/>
  <c r="GG158" i="2"/>
  <c r="GF158" i="2"/>
  <c r="GE158" i="2"/>
  <c r="GD158" i="2"/>
  <c r="GC158" i="2"/>
  <c r="GB158" i="2"/>
  <c r="GA158" i="2"/>
  <c r="FZ158" i="2"/>
  <c r="FY158" i="2"/>
  <c r="FX158" i="2"/>
  <c r="FW158" i="2"/>
  <c r="FV158" i="2"/>
  <c r="FU158" i="2"/>
  <c r="FT158" i="2"/>
  <c r="FS158" i="2"/>
  <c r="FR158" i="2"/>
  <c r="FQ158" i="2"/>
  <c r="FQ155" i="2"/>
  <c r="FP155" i="2"/>
  <c r="GU154" i="2"/>
  <c r="GT154" i="2"/>
  <c r="GS154" i="2"/>
  <c r="GR154" i="2"/>
  <c r="GQ154" i="2"/>
  <c r="GP154" i="2"/>
  <c r="GO154" i="2"/>
  <c r="GN154" i="2"/>
  <c r="GM154" i="2"/>
  <c r="GL154" i="2"/>
  <c r="GK154" i="2"/>
  <c r="GJ154" i="2"/>
  <c r="GI154" i="2"/>
  <c r="GH154" i="2"/>
  <c r="GG154" i="2"/>
  <c r="GF154" i="2"/>
  <c r="GE154" i="2"/>
  <c r="GD154" i="2"/>
  <c r="GC154" i="2"/>
  <c r="GB154" i="2"/>
  <c r="GA154" i="2"/>
  <c r="FZ154" i="2"/>
  <c r="FY154" i="2"/>
  <c r="FX154" i="2"/>
  <c r="FW154" i="2"/>
  <c r="FV154" i="2"/>
  <c r="FU154" i="2"/>
  <c r="FT154" i="2"/>
  <c r="FS154" i="2"/>
  <c r="FR154" i="2"/>
  <c r="GU153" i="2"/>
  <c r="GT153" i="2"/>
  <c r="GS153" i="2"/>
  <c r="GR153" i="2"/>
  <c r="GQ153" i="2"/>
  <c r="GP153" i="2"/>
  <c r="GO153" i="2"/>
  <c r="GN153" i="2"/>
  <c r="GM153" i="2"/>
  <c r="GL153" i="2"/>
  <c r="GK153" i="2"/>
  <c r="GJ153" i="2"/>
  <c r="GI153" i="2"/>
  <c r="GH153" i="2"/>
  <c r="GG153" i="2"/>
  <c r="GF153" i="2"/>
  <c r="GE153" i="2"/>
  <c r="GD153" i="2"/>
  <c r="GC153" i="2"/>
  <c r="GB153" i="2"/>
  <c r="GA153" i="2"/>
  <c r="FZ153" i="2"/>
  <c r="FY153" i="2"/>
  <c r="FX153" i="2"/>
  <c r="FW153" i="2"/>
  <c r="FV153" i="2"/>
  <c r="FU153" i="2"/>
  <c r="FT153" i="2"/>
  <c r="FS153" i="2"/>
  <c r="FR153" i="2"/>
  <c r="FQ153" i="2"/>
  <c r="FQ150" i="2"/>
  <c r="FP150" i="2"/>
  <c r="GU149" i="2"/>
  <c r="GT149" i="2"/>
  <c r="GS149" i="2"/>
  <c r="GR149" i="2"/>
  <c r="GQ149" i="2"/>
  <c r="GP149" i="2"/>
  <c r="GO149" i="2"/>
  <c r="GN149" i="2"/>
  <c r="GM149" i="2"/>
  <c r="GL149" i="2"/>
  <c r="GK149" i="2"/>
  <c r="GJ149" i="2"/>
  <c r="GI149" i="2"/>
  <c r="GH149" i="2"/>
  <c r="GG149" i="2"/>
  <c r="GF149" i="2"/>
  <c r="GE149" i="2"/>
  <c r="GD149" i="2"/>
  <c r="GC149" i="2"/>
  <c r="GB149" i="2"/>
  <c r="GA149" i="2"/>
  <c r="FZ149" i="2"/>
  <c r="FY149" i="2"/>
  <c r="FX149" i="2"/>
  <c r="FW149" i="2"/>
  <c r="FV149" i="2"/>
  <c r="FU149" i="2"/>
  <c r="FT149" i="2"/>
  <c r="FS149" i="2"/>
  <c r="FR149" i="2"/>
  <c r="GU148" i="2"/>
  <c r="GT148" i="2"/>
  <c r="GS148" i="2"/>
  <c r="GR148" i="2"/>
  <c r="GQ148" i="2"/>
  <c r="GP148" i="2"/>
  <c r="GO148" i="2"/>
  <c r="GN148" i="2"/>
  <c r="GM148" i="2"/>
  <c r="GL148" i="2"/>
  <c r="GK148" i="2"/>
  <c r="GJ148" i="2"/>
  <c r="GI148" i="2"/>
  <c r="GH148" i="2"/>
  <c r="GG148" i="2"/>
  <c r="GF148" i="2"/>
  <c r="GE148" i="2"/>
  <c r="GD148" i="2"/>
  <c r="GC148" i="2"/>
  <c r="GB148" i="2"/>
  <c r="GA148" i="2"/>
  <c r="FZ148" i="2"/>
  <c r="FY148" i="2"/>
  <c r="FX148" i="2"/>
  <c r="FW148" i="2"/>
  <c r="FV148" i="2"/>
  <c r="FU148" i="2"/>
  <c r="FT148" i="2"/>
  <c r="FS148" i="2"/>
  <c r="FR148" i="2"/>
  <c r="FQ148" i="2"/>
  <c r="FQ145" i="2"/>
  <c r="FP145" i="2"/>
  <c r="GU144" i="2"/>
  <c r="GT144" i="2"/>
  <c r="GS144" i="2"/>
  <c r="GR144" i="2"/>
  <c r="GQ144" i="2"/>
  <c r="GP144" i="2"/>
  <c r="GO144" i="2"/>
  <c r="GN144" i="2"/>
  <c r="GM144" i="2"/>
  <c r="GL144" i="2"/>
  <c r="GK144" i="2"/>
  <c r="GJ144" i="2"/>
  <c r="GI144" i="2"/>
  <c r="GH144" i="2"/>
  <c r="GG144" i="2"/>
  <c r="GF144" i="2"/>
  <c r="GE144" i="2"/>
  <c r="GD144" i="2"/>
  <c r="GC144" i="2"/>
  <c r="GB144" i="2"/>
  <c r="GA144" i="2"/>
  <c r="FZ144" i="2"/>
  <c r="FY144" i="2"/>
  <c r="FX144" i="2"/>
  <c r="FW144" i="2"/>
  <c r="FV144" i="2"/>
  <c r="FU144" i="2"/>
  <c r="FT144" i="2"/>
  <c r="FS144" i="2"/>
  <c r="FR144" i="2"/>
  <c r="GU143" i="2"/>
  <c r="GT143" i="2"/>
  <c r="GS143" i="2"/>
  <c r="GR143" i="2"/>
  <c r="GQ143" i="2"/>
  <c r="GP143" i="2"/>
  <c r="GO143" i="2"/>
  <c r="GN143" i="2"/>
  <c r="GM143" i="2"/>
  <c r="GL143" i="2"/>
  <c r="GK143" i="2"/>
  <c r="GJ143" i="2"/>
  <c r="GI143" i="2"/>
  <c r="GH143" i="2"/>
  <c r="GG143" i="2"/>
  <c r="GF143" i="2"/>
  <c r="GE143" i="2"/>
  <c r="GD143" i="2"/>
  <c r="GC143" i="2"/>
  <c r="GB143" i="2"/>
  <c r="GA143" i="2"/>
  <c r="FZ143" i="2"/>
  <c r="FY143" i="2"/>
  <c r="FX143" i="2"/>
  <c r="FW143" i="2"/>
  <c r="FV143" i="2"/>
  <c r="FU143" i="2"/>
  <c r="FT143" i="2"/>
  <c r="FS143" i="2"/>
  <c r="FR143" i="2"/>
  <c r="FQ143" i="2"/>
  <c r="FQ140" i="2"/>
  <c r="FP140" i="2"/>
  <c r="GU139" i="2"/>
  <c r="GT139" i="2"/>
  <c r="GS139" i="2"/>
  <c r="GR139" i="2"/>
  <c r="GQ139" i="2"/>
  <c r="GP139" i="2"/>
  <c r="GO139" i="2"/>
  <c r="GN139" i="2"/>
  <c r="GM139" i="2"/>
  <c r="GL139" i="2"/>
  <c r="GK139" i="2"/>
  <c r="GJ139" i="2"/>
  <c r="GI139" i="2"/>
  <c r="GH139" i="2"/>
  <c r="GG139" i="2"/>
  <c r="GF139" i="2"/>
  <c r="GE139" i="2"/>
  <c r="GD139" i="2"/>
  <c r="GC139" i="2"/>
  <c r="GB139" i="2"/>
  <c r="GA139" i="2"/>
  <c r="FZ139" i="2"/>
  <c r="FY139" i="2"/>
  <c r="FX139" i="2"/>
  <c r="FW139" i="2"/>
  <c r="FV139" i="2"/>
  <c r="FU139" i="2"/>
  <c r="FT139" i="2"/>
  <c r="FS139" i="2"/>
  <c r="FR139" i="2"/>
  <c r="GU138" i="2"/>
  <c r="GT138" i="2"/>
  <c r="GS138" i="2"/>
  <c r="GR138" i="2"/>
  <c r="GQ138" i="2"/>
  <c r="GP138" i="2"/>
  <c r="GO138" i="2"/>
  <c r="GN138" i="2"/>
  <c r="GM138" i="2"/>
  <c r="GL138" i="2"/>
  <c r="GK138" i="2"/>
  <c r="GJ138" i="2"/>
  <c r="GI138" i="2"/>
  <c r="GH138" i="2"/>
  <c r="GG138" i="2"/>
  <c r="GF138" i="2"/>
  <c r="GE138" i="2"/>
  <c r="GD138" i="2"/>
  <c r="GC138" i="2"/>
  <c r="GB138" i="2"/>
  <c r="GA138" i="2"/>
  <c r="FZ138" i="2"/>
  <c r="FY138" i="2"/>
  <c r="FX138" i="2"/>
  <c r="FW138" i="2"/>
  <c r="FV138" i="2"/>
  <c r="FU138" i="2"/>
  <c r="FT138" i="2"/>
  <c r="FS138" i="2"/>
  <c r="FR138" i="2"/>
  <c r="FQ138" i="2"/>
  <c r="FQ135" i="2"/>
  <c r="FP135" i="2"/>
  <c r="GU134" i="2"/>
  <c r="GT134" i="2"/>
  <c r="GS134" i="2"/>
  <c r="GR134" i="2"/>
  <c r="GQ134" i="2"/>
  <c r="GP134" i="2"/>
  <c r="GO134" i="2"/>
  <c r="GN134" i="2"/>
  <c r="GM134" i="2"/>
  <c r="GL134" i="2"/>
  <c r="GK134" i="2"/>
  <c r="GJ134" i="2"/>
  <c r="GI134" i="2"/>
  <c r="GH134" i="2"/>
  <c r="GG134" i="2"/>
  <c r="GF134" i="2"/>
  <c r="GE134" i="2"/>
  <c r="GD134" i="2"/>
  <c r="GC134" i="2"/>
  <c r="GB134" i="2"/>
  <c r="GA134" i="2"/>
  <c r="FZ134" i="2"/>
  <c r="FY134" i="2"/>
  <c r="FX134" i="2"/>
  <c r="FW134" i="2"/>
  <c r="FV134" i="2"/>
  <c r="FU134" i="2"/>
  <c r="FT134" i="2"/>
  <c r="FS134" i="2"/>
  <c r="FR134" i="2"/>
  <c r="GU133" i="2"/>
  <c r="GT133" i="2"/>
  <c r="GS133" i="2"/>
  <c r="GR133" i="2"/>
  <c r="GQ133" i="2"/>
  <c r="GP133" i="2"/>
  <c r="GO133" i="2"/>
  <c r="GN133" i="2"/>
  <c r="GM133" i="2"/>
  <c r="GL133" i="2"/>
  <c r="GK133" i="2"/>
  <c r="GJ133" i="2"/>
  <c r="GI133" i="2"/>
  <c r="GH133" i="2"/>
  <c r="GG133" i="2"/>
  <c r="GF133" i="2"/>
  <c r="GE133" i="2"/>
  <c r="GD133" i="2"/>
  <c r="GC133" i="2"/>
  <c r="GB133" i="2"/>
  <c r="GA133" i="2"/>
  <c r="FZ133" i="2"/>
  <c r="FY133" i="2"/>
  <c r="FX133" i="2"/>
  <c r="FW133" i="2"/>
  <c r="FV133" i="2"/>
  <c r="FU133" i="2"/>
  <c r="FT133" i="2"/>
  <c r="FS133" i="2"/>
  <c r="FR133" i="2"/>
  <c r="FQ133" i="2"/>
  <c r="FQ130" i="2"/>
  <c r="FP130" i="2"/>
  <c r="GU129" i="2"/>
  <c r="GT129" i="2"/>
  <c r="GS129" i="2"/>
  <c r="GR129" i="2"/>
  <c r="GQ129" i="2"/>
  <c r="GP129" i="2"/>
  <c r="GO129" i="2"/>
  <c r="GN129" i="2"/>
  <c r="GM129" i="2"/>
  <c r="GL129" i="2"/>
  <c r="GK129" i="2"/>
  <c r="GJ129" i="2"/>
  <c r="GI129" i="2"/>
  <c r="GH129" i="2"/>
  <c r="GG129" i="2"/>
  <c r="GF129" i="2"/>
  <c r="GE129" i="2"/>
  <c r="GD129" i="2"/>
  <c r="GC129" i="2"/>
  <c r="GB129" i="2"/>
  <c r="GA129" i="2"/>
  <c r="FZ129" i="2"/>
  <c r="FY129" i="2"/>
  <c r="FX129" i="2"/>
  <c r="FW129" i="2"/>
  <c r="FV129" i="2"/>
  <c r="FU129" i="2"/>
  <c r="FT129" i="2"/>
  <c r="FS129" i="2"/>
  <c r="FR129" i="2"/>
  <c r="GU128" i="2"/>
  <c r="GT128" i="2"/>
  <c r="GS128" i="2"/>
  <c r="GR128" i="2"/>
  <c r="GQ128" i="2"/>
  <c r="GP128" i="2"/>
  <c r="GO128" i="2"/>
  <c r="GN128" i="2"/>
  <c r="GM128" i="2"/>
  <c r="GL128" i="2"/>
  <c r="GK128" i="2"/>
  <c r="GJ128" i="2"/>
  <c r="GI128" i="2"/>
  <c r="GH128" i="2"/>
  <c r="GG128" i="2"/>
  <c r="GF128" i="2"/>
  <c r="GE128" i="2"/>
  <c r="GD128" i="2"/>
  <c r="GC128" i="2"/>
  <c r="GB128" i="2"/>
  <c r="GA128" i="2"/>
  <c r="FZ128" i="2"/>
  <c r="FY128" i="2"/>
  <c r="FX128" i="2"/>
  <c r="FW128" i="2"/>
  <c r="FV128" i="2"/>
  <c r="FU128" i="2"/>
  <c r="FT128" i="2"/>
  <c r="FS128" i="2"/>
  <c r="FR128" i="2"/>
  <c r="FQ128" i="2"/>
  <c r="FQ125" i="2"/>
  <c r="FP125" i="2"/>
  <c r="GU124" i="2"/>
  <c r="GT124" i="2"/>
  <c r="GS124" i="2"/>
  <c r="GR124" i="2"/>
  <c r="GQ124" i="2"/>
  <c r="GP124" i="2"/>
  <c r="GO124" i="2"/>
  <c r="GN124" i="2"/>
  <c r="GM124" i="2"/>
  <c r="GL124" i="2"/>
  <c r="GK124" i="2"/>
  <c r="GJ124" i="2"/>
  <c r="GI124" i="2"/>
  <c r="GH124" i="2"/>
  <c r="GG124" i="2"/>
  <c r="GF124" i="2"/>
  <c r="GE124" i="2"/>
  <c r="GD124" i="2"/>
  <c r="GC124" i="2"/>
  <c r="GB124" i="2"/>
  <c r="GA124" i="2"/>
  <c r="FZ124" i="2"/>
  <c r="FY124" i="2"/>
  <c r="FX124" i="2"/>
  <c r="FW124" i="2"/>
  <c r="FV124" i="2"/>
  <c r="FU124" i="2"/>
  <c r="FT124" i="2"/>
  <c r="FS124" i="2"/>
  <c r="FR124" i="2"/>
  <c r="GU123" i="2"/>
  <c r="GT123" i="2"/>
  <c r="GS123" i="2"/>
  <c r="GR123" i="2"/>
  <c r="GQ123" i="2"/>
  <c r="GP123" i="2"/>
  <c r="GO123" i="2"/>
  <c r="GN123" i="2"/>
  <c r="GM123" i="2"/>
  <c r="GL123" i="2"/>
  <c r="GK123" i="2"/>
  <c r="GJ123" i="2"/>
  <c r="GI123" i="2"/>
  <c r="GH123" i="2"/>
  <c r="GG123" i="2"/>
  <c r="GF123" i="2"/>
  <c r="GE123" i="2"/>
  <c r="GD123" i="2"/>
  <c r="GC123" i="2"/>
  <c r="GB123" i="2"/>
  <c r="GA123" i="2"/>
  <c r="FZ123" i="2"/>
  <c r="FY123" i="2"/>
  <c r="FX123" i="2"/>
  <c r="FW123" i="2"/>
  <c r="FV123" i="2"/>
  <c r="FU123" i="2"/>
  <c r="FT123" i="2"/>
  <c r="FS123" i="2"/>
  <c r="FR123" i="2"/>
  <c r="FQ123" i="2"/>
  <c r="FQ120" i="2"/>
  <c r="FP120" i="2"/>
  <c r="GU119" i="2"/>
  <c r="GT119" i="2"/>
  <c r="GS119" i="2"/>
  <c r="GR119" i="2"/>
  <c r="GQ119" i="2"/>
  <c r="GP119" i="2"/>
  <c r="GO119" i="2"/>
  <c r="GN119" i="2"/>
  <c r="GM119" i="2"/>
  <c r="GL119" i="2"/>
  <c r="GK119" i="2"/>
  <c r="GJ119" i="2"/>
  <c r="GI119" i="2"/>
  <c r="GH119" i="2"/>
  <c r="GG119" i="2"/>
  <c r="GF119" i="2"/>
  <c r="GE119" i="2"/>
  <c r="GD119" i="2"/>
  <c r="GC119" i="2"/>
  <c r="GB119" i="2"/>
  <c r="GA119" i="2"/>
  <c r="FZ119" i="2"/>
  <c r="FY119" i="2"/>
  <c r="FX119" i="2"/>
  <c r="FW119" i="2"/>
  <c r="FV119" i="2"/>
  <c r="FU119" i="2"/>
  <c r="FT119" i="2"/>
  <c r="FS119" i="2"/>
  <c r="FR119" i="2"/>
  <c r="GU118" i="2"/>
  <c r="GT118" i="2"/>
  <c r="GS118" i="2"/>
  <c r="GR118" i="2"/>
  <c r="GQ118" i="2"/>
  <c r="GP118" i="2"/>
  <c r="GO118" i="2"/>
  <c r="GN118" i="2"/>
  <c r="GM118" i="2"/>
  <c r="GL118" i="2"/>
  <c r="GK118" i="2"/>
  <c r="GJ118" i="2"/>
  <c r="GI118" i="2"/>
  <c r="GH118" i="2"/>
  <c r="GG118" i="2"/>
  <c r="GF118" i="2"/>
  <c r="GE118" i="2"/>
  <c r="GD118" i="2"/>
  <c r="GC118" i="2"/>
  <c r="GB118" i="2"/>
  <c r="GA118" i="2"/>
  <c r="FZ118" i="2"/>
  <c r="FY118" i="2"/>
  <c r="FX118" i="2"/>
  <c r="FW118" i="2"/>
  <c r="FV118" i="2"/>
  <c r="FU118" i="2"/>
  <c r="FT118" i="2"/>
  <c r="FS118" i="2"/>
  <c r="FR118" i="2"/>
  <c r="FQ118" i="2"/>
  <c r="FQ115" i="2"/>
  <c r="FP115" i="2"/>
  <c r="GU114" i="2"/>
  <c r="GT114" i="2"/>
  <c r="GS114" i="2"/>
  <c r="GR114" i="2"/>
  <c r="GQ114" i="2"/>
  <c r="GP114" i="2"/>
  <c r="GO114" i="2"/>
  <c r="GN114" i="2"/>
  <c r="GM114" i="2"/>
  <c r="GL114" i="2"/>
  <c r="GK114" i="2"/>
  <c r="GJ114" i="2"/>
  <c r="GI114" i="2"/>
  <c r="GH114" i="2"/>
  <c r="GG114" i="2"/>
  <c r="GF114" i="2"/>
  <c r="GE114" i="2"/>
  <c r="GD114" i="2"/>
  <c r="GC114" i="2"/>
  <c r="GB114" i="2"/>
  <c r="GA114" i="2"/>
  <c r="FZ114" i="2"/>
  <c r="FY114" i="2"/>
  <c r="FX114" i="2"/>
  <c r="FW114" i="2"/>
  <c r="FV114" i="2"/>
  <c r="FU114" i="2"/>
  <c r="FT114" i="2"/>
  <c r="FS114" i="2"/>
  <c r="FR114" i="2"/>
  <c r="GU113" i="2"/>
  <c r="GT113" i="2"/>
  <c r="GS113" i="2"/>
  <c r="GR113" i="2"/>
  <c r="GQ113" i="2"/>
  <c r="GP113" i="2"/>
  <c r="GO113" i="2"/>
  <c r="GN113" i="2"/>
  <c r="GM113" i="2"/>
  <c r="GL113" i="2"/>
  <c r="GK113" i="2"/>
  <c r="GJ113" i="2"/>
  <c r="GI113" i="2"/>
  <c r="GH113" i="2"/>
  <c r="GG113" i="2"/>
  <c r="GF113" i="2"/>
  <c r="GE113" i="2"/>
  <c r="GD113" i="2"/>
  <c r="GC113" i="2"/>
  <c r="GB113" i="2"/>
  <c r="GA113" i="2"/>
  <c r="FZ113" i="2"/>
  <c r="FY113" i="2"/>
  <c r="FX113" i="2"/>
  <c r="FW113" i="2"/>
  <c r="FV113" i="2"/>
  <c r="FU113" i="2"/>
  <c r="FT113" i="2"/>
  <c r="FS113" i="2"/>
  <c r="FR113" i="2"/>
  <c r="FQ113" i="2"/>
  <c r="FQ110" i="2"/>
  <c r="FP110" i="2"/>
  <c r="GU109" i="2"/>
  <c r="GT109" i="2"/>
  <c r="GS109" i="2"/>
  <c r="GR109" i="2"/>
  <c r="GQ109" i="2"/>
  <c r="GP109" i="2"/>
  <c r="GO109" i="2"/>
  <c r="GN109" i="2"/>
  <c r="GM109" i="2"/>
  <c r="GL109" i="2"/>
  <c r="GK109" i="2"/>
  <c r="GJ109" i="2"/>
  <c r="GI109" i="2"/>
  <c r="GH109" i="2"/>
  <c r="GG109" i="2"/>
  <c r="GF109" i="2"/>
  <c r="GE109" i="2"/>
  <c r="GD109" i="2"/>
  <c r="GC109" i="2"/>
  <c r="GB109" i="2"/>
  <c r="GA109" i="2"/>
  <c r="FZ109" i="2"/>
  <c r="FY109" i="2"/>
  <c r="FX109" i="2"/>
  <c r="FW109" i="2"/>
  <c r="FV109" i="2"/>
  <c r="FU109" i="2"/>
  <c r="FT109" i="2"/>
  <c r="FS109" i="2"/>
  <c r="FR109" i="2"/>
  <c r="GU108" i="2"/>
  <c r="GT108" i="2"/>
  <c r="GS108" i="2"/>
  <c r="GR108" i="2"/>
  <c r="GQ108" i="2"/>
  <c r="GP108" i="2"/>
  <c r="GO108" i="2"/>
  <c r="GN108" i="2"/>
  <c r="GM108" i="2"/>
  <c r="GL108" i="2"/>
  <c r="GK108" i="2"/>
  <c r="GJ108" i="2"/>
  <c r="GI108" i="2"/>
  <c r="GH108" i="2"/>
  <c r="GG108" i="2"/>
  <c r="GF108" i="2"/>
  <c r="GE108" i="2"/>
  <c r="GD108" i="2"/>
  <c r="GC108" i="2"/>
  <c r="GB108" i="2"/>
  <c r="GA108" i="2"/>
  <c r="FZ108" i="2"/>
  <c r="FY108" i="2"/>
  <c r="FX108" i="2"/>
  <c r="FW108" i="2"/>
  <c r="FV108" i="2"/>
  <c r="FU108" i="2"/>
  <c r="FT108" i="2"/>
  <c r="FS108" i="2"/>
  <c r="FR108" i="2"/>
  <c r="FQ108" i="2"/>
  <c r="FQ105" i="2"/>
  <c r="FP105" i="2"/>
  <c r="GU104" i="2"/>
  <c r="GT104" i="2"/>
  <c r="GS104" i="2"/>
  <c r="GR104" i="2"/>
  <c r="GQ104" i="2"/>
  <c r="GP104" i="2"/>
  <c r="GO104" i="2"/>
  <c r="GN104" i="2"/>
  <c r="GM104" i="2"/>
  <c r="GL104" i="2"/>
  <c r="GK104" i="2"/>
  <c r="GJ104" i="2"/>
  <c r="GI104" i="2"/>
  <c r="GH104" i="2"/>
  <c r="GG104" i="2"/>
  <c r="GF104" i="2"/>
  <c r="GE104" i="2"/>
  <c r="GD104" i="2"/>
  <c r="GC104" i="2"/>
  <c r="GB104" i="2"/>
  <c r="GA104" i="2"/>
  <c r="FZ104" i="2"/>
  <c r="FY104" i="2"/>
  <c r="FX104" i="2"/>
  <c r="FW104" i="2"/>
  <c r="FV104" i="2"/>
  <c r="FU104" i="2"/>
  <c r="FT104" i="2"/>
  <c r="FS104" i="2"/>
  <c r="FR104" i="2"/>
  <c r="GU103" i="2"/>
  <c r="GT103" i="2"/>
  <c r="GS103" i="2"/>
  <c r="GR103" i="2"/>
  <c r="GQ103" i="2"/>
  <c r="GP103" i="2"/>
  <c r="GO103" i="2"/>
  <c r="GN103" i="2"/>
  <c r="GM103" i="2"/>
  <c r="GL103" i="2"/>
  <c r="GK103" i="2"/>
  <c r="GJ103" i="2"/>
  <c r="GI103" i="2"/>
  <c r="GH103" i="2"/>
  <c r="GG103" i="2"/>
  <c r="GF103" i="2"/>
  <c r="GE103" i="2"/>
  <c r="GD103" i="2"/>
  <c r="GC103" i="2"/>
  <c r="GB103" i="2"/>
  <c r="GA103" i="2"/>
  <c r="FZ103" i="2"/>
  <c r="FY103" i="2"/>
  <c r="FX103" i="2"/>
  <c r="FW103" i="2"/>
  <c r="FV103" i="2"/>
  <c r="FU103" i="2"/>
  <c r="FT103" i="2"/>
  <c r="FS103" i="2"/>
  <c r="FR103" i="2"/>
  <c r="FQ103" i="2"/>
  <c r="FQ100" i="2"/>
  <c r="FP100" i="2"/>
  <c r="GU99" i="2"/>
  <c r="GT99" i="2"/>
  <c r="GS99" i="2"/>
  <c r="GR99" i="2"/>
  <c r="GQ99" i="2"/>
  <c r="GP99" i="2"/>
  <c r="GO99" i="2"/>
  <c r="GN99" i="2"/>
  <c r="GM99" i="2"/>
  <c r="GL99" i="2"/>
  <c r="GK99" i="2"/>
  <c r="GJ99" i="2"/>
  <c r="GI99" i="2"/>
  <c r="GH99" i="2"/>
  <c r="GG99" i="2"/>
  <c r="GF99" i="2"/>
  <c r="GE99" i="2"/>
  <c r="GD99" i="2"/>
  <c r="GC99" i="2"/>
  <c r="GB99" i="2"/>
  <c r="GA99" i="2"/>
  <c r="FZ99" i="2"/>
  <c r="FY99" i="2"/>
  <c r="FX99" i="2"/>
  <c r="FW99" i="2"/>
  <c r="FV99" i="2"/>
  <c r="FU99" i="2"/>
  <c r="FT99" i="2"/>
  <c r="FS99" i="2"/>
  <c r="FR99" i="2"/>
  <c r="GU98" i="2"/>
  <c r="GT98" i="2"/>
  <c r="GS98" i="2"/>
  <c r="GR98" i="2"/>
  <c r="GQ98" i="2"/>
  <c r="GP98" i="2"/>
  <c r="GO98" i="2"/>
  <c r="GN98" i="2"/>
  <c r="GM98" i="2"/>
  <c r="GL98" i="2"/>
  <c r="GK98" i="2"/>
  <c r="GJ98" i="2"/>
  <c r="GI98" i="2"/>
  <c r="GH98" i="2"/>
  <c r="GG98" i="2"/>
  <c r="GF98" i="2"/>
  <c r="GE98" i="2"/>
  <c r="GD98" i="2"/>
  <c r="GC98" i="2"/>
  <c r="GB98" i="2"/>
  <c r="GA98" i="2"/>
  <c r="FZ98" i="2"/>
  <c r="FY98" i="2"/>
  <c r="FX98" i="2"/>
  <c r="FW98" i="2"/>
  <c r="FV98" i="2"/>
  <c r="FU98" i="2"/>
  <c r="FT98" i="2"/>
  <c r="FS98" i="2"/>
  <c r="FR98" i="2"/>
  <c r="FQ98" i="2"/>
  <c r="FQ95" i="2"/>
  <c r="FP95" i="2"/>
  <c r="GU94" i="2"/>
  <c r="GT94" i="2"/>
  <c r="GS94" i="2"/>
  <c r="GR94" i="2"/>
  <c r="GQ94" i="2"/>
  <c r="GP94" i="2"/>
  <c r="GO94" i="2"/>
  <c r="GN94" i="2"/>
  <c r="GM94" i="2"/>
  <c r="GL94" i="2"/>
  <c r="GK94" i="2"/>
  <c r="GJ94" i="2"/>
  <c r="GI94" i="2"/>
  <c r="GH94" i="2"/>
  <c r="GG94" i="2"/>
  <c r="GF94" i="2"/>
  <c r="GE94" i="2"/>
  <c r="GD94" i="2"/>
  <c r="GC94" i="2"/>
  <c r="GB94" i="2"/>
  <c r="GA94" i="2"/>
  <c r="FZ94" i="2"/>
  <c r="FY94" i="2"/>
  <c r="FX94" i="2"/>
  <c r="FW94" i="2"/>
  <c r="FV94" i="2"/>
  <c r="FU94" i="2"/>
  <c r="FT94" i="2"/>
  <c r="FS94" i="2"/>
  <c r="FR94" i="2"/>
  <c r="GU93" i="2"/>
  <c r="GT93" i="2"/>
  <c r="GS93" i="2"/>
  <c r="GR93" i="2"/>
  <c r="GQ93" i="2"/>
  <c r="GP93" i="2"/>
  <c r="GO93" i="2"/>
  <c r="GN93" i="2"/>
  <c r="GM93" i="2"/>
  <c r="GL93" i="2"/>
  <c r="GK93" i="2"/>
  <c r="GJ93" i="2"/>
  <c r="GI93" i="2"/>
  <c r="GH93" i="2"/>
  <c r="GG93" i="2"/>
  <c r="GF93" i="2"/>
  <c r="GE93" i="2"/>
  <c r="GD93" i="2"/>
  <c r="GC93" i="2"/>
  <c r="GB93" i="2"/>
  <c r="GA93" i="2"/>
  <c r="FZ93" i="2"/>
  <c r="FY93" i="2"/>
  <c r="FX93" i="2"/>
  <c r="FW93" i="2"/>
  <c r="FV93" i="2"/>
  <c r="FU93" i="2"/>
  <c r="FT93" i="2"/>
  <c r="FS93" i="2"/>
  <c r="FR93" i="2"/>
  <c r="FQ93" i="2"/>
  <c r="FQ90" i="2"/>
  <c r="FP90" i="2"/>
  <c r="GU89" i="2"/>
  <c r="GT89" i="2"/>
  <c r="GS89" i="2"/>
  <c r="GR89" i="2"/>
  <c r="GQ89" i="2"/>
  <c r="GP89" i="2"/>
  <c r="GO89" i="2"/>
  <c r="GN89" i="2"/>
  <c r="GM89" i="2"/>
  <c r="GL89" i="2"/>
  <c r="GK89" i="2"/>
  <c r="GJ89" i="2"/>
  <c r="GI89" i="2"/>
  <c r="GH89" i="2"/>
  <c r="GG89" i="2"/>
  <c r="GF89" i="2"/>
  <c r="GE89" i="2"/>
  <c r="GD89" i="2"/>
  <c r="GC89" i="2"/>
  <c r="GB89" i="2"/>
  <c r="GA89" i="2"/>
  <c r="FZ89" i="2"/>
  <c r="FY89" i="2"/>
  <c r="FX89" i="2"/>
  <c r="FW89" i="2"/>
  <c r="FV89" i="2"/>
  <c r="FU89" i="2"/>
  <c r="FT89" i="2"/>
  <c r="FS89" i="2"/>
  <c r="FR89" i="2"/>
  <c r="GU88" i="2"/>
  <c r="GT88" i="2"/>
  <c r="GS88" i="2"/>
  <c r="GR88" i="2"/>
  <c r="GQ88" i="2"/>
  <c r="GP88" i="2"/>
  <c r="GO88" i="2"/>
  <c r="GN88" i="2"/>
  <c r="GM88" i="2"/>
  <c r="GL88" i="2"/>
  <c r="GK88" i="2"/>
  <c r="GJ88" i="2"/>
  <c r="GI88" i="2"/>
  <c r="GH88" i="2"/>
  <c r="GG88" i="2"/>
  <c r="GF88" i="2"/>
  <c r="GE88" i="2"/>
  <c r="GD88" i="2"/>
  <c r="GC88" i="2"/>
  <c r="GB88" i="2"/>
  <c r="GA88" i="2"/>
  <c r="FZ88" i="2"/>
  <c r="FY88" i="2"/>
  <c r="FX88" i="2"/>
  <c r="FW88" i="2"/>
  <c r="FV88" i="2"/>
  <c r="FU88" i="2"/>
  <c r="FT88" i="2"/>
  <c r="FS88" i="2"/>
  <c r="FR88" i="2"/>
  <c r="FQ88" i="2"/>
  <c r="FQ85" i="2"/>
  <c r="FP85" i="2"/>
  <c r="GU84" i="2"/>
  <c r="GT84" i="2"/>
  <c r="GS84" i="2"/>
  <c r="GR84" i="2"/>
  <c r="GQ84" i="2"/>
  <c r="GP84" i="2"/>
  <c r="GO84" i="2"/>
  <c r="GN84" i="2"/>
  <c r="GM84" i="2"/>
  <c r="GL84" i="2"/>
  <c r="GK84" i="2"/>
  <c r="GJ84" i="2"/>
  <c r="GI84" i="2"/>
  <c r="GH84" i="2"/>
  <c r="GG84" i="2"/>
  <c r="GF84" i="2"/>
  <c r="GE84" i="2"/>
  <c r="GD84" i="2"/>
  <c r="GC84" i="2"/>
  <c r="GB84" i="2"/>
  <c r="GA84" i="2"/>
  <c r="FZ84" i="2"/>
  <c r="FY84" i="2"/>
  <c r="FX84" i="2"/>
  <c r="FW84" i="2"/>
  <c r="FV84" i="2"/>
  <c r="FU84" i="2"/>
  <c r="FT84" i="2"/>
  <c r="FS84" i="2"/>
  <c r="FR84" i="2"/>
  <c r="GU83" i="2"/>
  <c r="GT83" i="2"/>
  <c r="GS83" i="2"/>
  <c r="GR83" i="2"/>
  <c r="GQ83" i="2"/>
  <c r="GP83" i="2"/>
  <c r="GO83" i="2"/>
  <c r="GN83" i="2"/>
  <c r="GM83" i="2"/>
  <c r="GL83" i="2"/>
  <c r="GK83" i="2"/>
  <c r="GJ83" i="2"/>
  <c r="GI83" i="2"/>
  <c r="GH83" i="2"/>
  <c r="GG83" i="2"/>
  <c r="GF83" i="2"/>
  <c r="GE83" i="2"/>
  <c r="GD83" i="2"/>
  <c r="GC83" i="2"/>
  <c r="GB83" i="2"/>
  <c r="GA83" i="2"/>
  <c r="FZ83" i="2"/>
  <c r="FY83" i="2"/>
  <c r="FX83" i="2"/>
  <c r="FW83" i="2"/>
  <c r="FV83" i="2"/>
  <c r="FU83" i="2"/>
  <c r="FT83" i="2"/>
  <c r="FS83" i="2"/>
  <c r="FR83" i="2"/>
  <c r="FQ83" i="2"/>
  <c r="FQ80" i="2"/>
  <c r="FP80" i="2"/>
  <c r="GU79" i="2"/>
  <c r="GT79" i="2"/>
  <c r="GS79" i="2"/>
  <c r="GR79" i="2"/>
  <c r="GQ79" i="2"/>
  <c r="GP79" i="2"/>
  <c r="GO79" i="2"/>
  <c r="GN79" i="2"/>
  <c r="GM79" i="2"/>
  <c r="GL79" i="2"/>
  <c r="GK79" i="2"/>
  <c r="GJ79" i="2"/>
  <c r="GI79" i="2"/>
  <c r="GH79" i="2"/>
  <c r="GG79" i="2"/>
  <c r="GF79" i="2"/>
  <c r="GE79" i="2"/>
  <c r="GD79" i="2"/>
  <c r="GC79" i="2"/>
  <c r="GB79" i="2"/>
  <c r="GA79" i="2"/>
  <c r="FZ79" i="2"/>
  <c r="FY79" i="2"/>
  <c r="FX79" i="2"/>
  <c r="FW79" i="2"/>
  <c r="FV79" i="2"/>
  <c r="FU79" i="2"/>
  <c r="FT79" i="2"/>
  <c r="FS79" i="2"/>
  <c r="FR79" i="2"/>
  <c r="GU78" i="2"/>
  <c r="GT78" i="2"/>
  <c r="GS78" i="2"/>
  <c r="GR78" i="2"/>
  <c r="GQ78" i="2"/>
  <c r="GP78" i="2"/>
  <c r="GO78" i="2"/>
  <c r="GN78" i="2"/>
  <c r="GM78" i="2"/>
  <c r="GL78" i="2"/>
  <c r="GK78" i="2"/>
  <c r="GJ78" i="2"/>
  <c r="GI78" i="2"/>
  <c r="GH78" i="2"/>
  <c r="GG78" i="2"/>
  <c r="GF78" i="2"/>
  <c r="GE78" i="2"/>
  <c r="GD78" i="2"/>
  <c r="GC78" i="2"/>
  <c r="GB78" i="2"/>
  <c r="GA78" i="2"/>
  <c r="FZ78" i="2"/>
  <c r="FY78" i="2"/>
  <c r="FX78" i="2"/>
  <c r="FW78" i="2"/>
  <c r="FV78" i="2"/>
  <c r="FU78" i="2"/>
  <c r="FT78" i="2"/>
  <c r="FS78" i="2"/>
  <c r="FR78" i="2"/>
  <c r="FQ78" i="2"/>
  <c r="FQ75" i="2"/>
  <c r="FP75" i="2"/>
  <c r="GU74" i="2"/>
  <c r="GT74" i="2"/>
  <c r="GS74" i="2"/>
  <c r="GR74" i="2"/>
  <c r="GQ74" i="2"/>
  <c r="GP74" i="2"/>
  <c r="GO74" i="2"/>
  <c r="GN74" i="2"/>
  <c r="GM74" i="2"/>
  <c r="GL74" i="2"/>
  <c r="GK74" i="2"/>
  <c r="GJ74" i="2"/>
  <c r="GI74" i="2"/>
  <c r="GH74" i="2"/>
  <c r="GG74" i="2"/>
  <c r="GF74" i="2"/>
  <c r="GE74" i="2"/>
  <c r="GD74" i="2"/>
  <c r="GC74" i="2"/>
  <c r="GB74" i="2"/>
  <c r="GA74" i="2"/>
  <c r="FZ74" i="2"/>
  <c r="FY74" i="2"/>
  <c r="FX74" i="2"/>
  <c r="FW74" i="2"/>
  <c r="FV74" i="2"/>
  <c r="FU74" i="2"/>
  <c r="FT74" i="2"/>
  <c r="FS74" i="2"/>
  <c r="FR74" i="2"/>
  <c r="GU73" i="2"/>
  <c r="GT73" i="2"/>
  <c r="GS73" i="2"/>
  <c r="GR73" i="2"/>
  <c r="GQ73" i="2"/>
  <c r="GP73" i="2"/>
  <c r="GO73" i="2"/>
  <c r="GN73" i="2"/>
  <c r="GM73" i="2"/>
  <c r="GL73" i="2"/>
  <c r="GK73" i="2"/>
  <c r="GJ73" i="2"/>
  <c r="GI73" i="2"/>
  <c r="GH73" i="2"/>
  <c r="GG73" i="2"/>
  <c r="GF73" i="2"/>
  <c r="GE73" i="2"/>
  <c r="GD73" i="2"/>
  <c r="GC73" i="2"/>
  <c r="GB73" i="2"/>
  <c r="GA73" i="2"/>
  <c r="FZ73" i="2"/>
  <c r="FY73" i="2"/>
  <c r="FX73" i="2"/>
  <c r="FW73" i="2"/>
  <c r="FV73" i="2"/>
  <c r="FU73" i="2"/>
  <c r="FT73" i="2"/>
  <c r="FS73" i="2"/>
  <c r="FR73" i="2"/>
  <c r="FQ73" i="2"/>
  <c r="FQ68" i="2"/>
  <c r="EI68" i="2"/>
  <c r="FQ66" i="2"/>
  <c r="EI66" i="2"/>
  <c r="FQ64" i="2"/>
  <c r="EI64" i="2"/>
  <c r="FQ62" i="2"/>
  <c r="EI62" i="2"/>
  <c r="FQ60" i="2"/>
  <c r="EI60" i="2"/>
  <c r="FQ58" i="2"/>
  <c r="FP58" i="2"/>
  <c r="EI58" i="2"/>
  <c r="FQ56" i="2"/>
  <c r="FP56" i="2"/>
  <c r="EI56" i="2"/>
  <c r="FQ54" i="2"/>
  <c r="FP54" i="2"/>
  <c r="EI54" i="2"/>
  <c r="FQ52" i="2"/>
  <c r="FP52" i="2"/>
  <c r="EI52" i="2"/>
  <c r="FQ50" i="2"/>
  <c r="FP50" i="2"/>
  <c r="EI50" i="2"/>
  <c r="FQ48" i="2"/>
  <c r="FP48" i="2"/>
  <c r="EI48" i="2"/>
  <c r="FQ46" i="2"/>
  <c r="FP46" i="2"/>
  <c r="EI46" i="2"/>
  <c r="FQ44" i="2"/>
  <c r="FP44" i="2"/>
  <c r="EI44" i="2"/>
  <c r="FQ42" i="2"/>
  <c r="FP42" i="2"/>
  <c r="EI42" i="2"/>
  <c r="FQ40" i="2"/>
  <c r="FP40" i="2"/>
  <c r="EI40" i="2"/>
  <c r="FQ38" i="2"/>
  <c r="FP38" i="2"/>
  <c r="EI38" i="2"/>
  <c r="FQ36" i="2"/>
  <c r="FP36" i="2"/>
  <c r="EI36" i="2"/>
  <c r="FQ34" i="2"/>
  <c r="FP34" i="2"/>
  <c r="EI34" i="2"/>
  <c r="FQ32" i="2"/>
  <c r="FP32" i="2"/>
  <c r="EI32" i="2"/>
  <c r="FQ30" i="2"/>
  <c r="FP30" i="2"/>
  <c r="EI30" i="2"/>
  <c r="FQ28" i="2"/>
  <c r="FP28" i="2"/>
  <c r="EI28" i="2"/>
  <c r="FQ26" i="2"/>
  <c r="FP26" i="2"/>
  <c r="EI26" i="2"/>
  <c r="FQ24" i="2"/>
  <c r="FP24" i="2"/>
  <c r="EI24" i="2"/>
  <c r="FQ22" i="2"/>
  <c r="FP22" i="2"/>
  <c r="EI22" i="2"/>
  <c r="FQ20" i="2"/>
  <c r="FP20" i="2"/>
  <c r="EI20" i="2"/>
  <c r="FQ16" i="2"/>
  <c r="EI15" i="2"/>
  <c r="P15" i="2"/>
  <c r="DW13" i="2"/>
  <c r="DV13" i="2"/>
  <c r="DL13" i="2"/>
  <c r="DL12" i="2" s="1"/>
  <c r="Q15" i="2" a="1"/>
  <c r="Q1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Röhss</author>
  </authors>
  <commentList>
    <comment ref="K11" authorId="0" shapeId="0" xr:uid="{A0001B12-0B2B-4072-9FB8-FD93AB0CF85F}">
      <text>
        <r>
          <rPr>
            <b/>
            <sz val="9"/>
            <color indexed="81"/>
            <rFont val="Tahoma"/>
            <family val="2"/>
          </rPr>
          <t>Thomas Röhss:</t>
        </r>
        <r>
          <rPr>
            <sz val="9"/>
            <color indexed="81"/>
            <rFont val="Tahoma"/>
            <family val="2"/>
          </rPr>
          <t xml:space="preserve">
Hybrid which must contain only one Thrust declaration and two (2) different Connection declarations</t>
        </r>
      </text>
    </comment>
    <comment ref="L11" authorId="0" shapeId="0" xr:uid="{D03B4127-FDFD-4BB0-B854-404D9B828291}">
      <text>
        <r>
          <rPr>
            <b/>
            <sz val="9"/>
            <color indexed="81"/>
            <rFont val="Tahoma"/>
            <family val="2"/>
          </rPr>
          <t>Thomas Röhss:</t>
        </r>
        <r>
          <rPr>
            <sz val="9"/>
            <color indexed="81"/>
            <rFont val="Tahoma"/>
            <family val="2"/>
          </rPr>
          <t xml:space="preserve">
Solo hybrid</t>
        </r>
      </text>
    </comment>
    <comment ref="M11" authorId="0" shapeId="0" xr:uid="{6920775C-BE6C-4F9B-90BE-90070E2A8E14}">
      <text>
        <r>
          <rPr>
            <b/>
            <sz val="9"/>
            <color indexed="81"/>
            <rFont val="Tahoma"/>
            <family val="2"/>
          </rPr>
          <t>Thomas Röhss:</t>
        </r>
        <r>
          <rPr>
            <sz val="9"/>
            <color indexed="81"/>
            <rFont val="Tahoma"/>
            <family val="2"/>
          </rPr>
          <t xml:space="preserve">
Duet hybrid</t>
        </r>
      </text>
    </comment>
    <comment ref="N11" authorId="0" shapeId="0" xr:uid="{12E972C2-B34D-41CD-A699-4CE73AB9E9B0}">
      <text>
        <r>
          <rPr>
            <b/>
            <sz val="9"/>
            <color indexed="81"/>
            <rFont val="Tahoma"/>
            <family val="2"/>
          </rPr>
          <t>Thomas Röhss:</t>
        </r>
        <r>
          <rPr>
            <sz val="9"/>
            <color indexed="81"/>
            <rFont val="Tahoma"/>
            <family val="2"/>
          </rPr>
          <t xml:space="preserve">
Team Hybrid (must be executed with a minimum of 4 athletes)</t>
        </r>
      </text>
    </comment>
    <comment ref="O11" authorId="0" shapeId="0" xr:uid="{B0473296-7610-4C48-BBE8-D1EFAE81C8FB}">
      <text>
        <r>
          <rPr>
            <b/>
            <sz val="9"/>
            <color indexed="81"/>
            <rFont val="Tahoma"/>
            <family val="2"/>
          </rPr>
          <t>Thomas Röhss:</t>
        </r>
        <r>
          <rPr>
            <sz val="9"/>
            <color indexed="81"/>
            <rFont val="Tahoma"/>
            <family val="2"/>
          </rPr>
          <t xml:space="preserve">
Team choreography hybrid (“ChoHY”) with no DD (ie factor of 1.0) must be executed with a minimum of 4 athletes</t>
        </r>
      </text>
    </comment>
    <comment ref="P11" authorId="0" shapeId="0" xr:uid="{4CF41B4E-342B-4D98-BB0C-E95A87BED65F}">
      <text>
        <r>
          <rPr>
            <b/>
            <sz val="9"/>
            <color indexed="81"/>
            <rFont val="Tahoma"/>
            <family val="2"/>
          </rPr>
          <t>Thomas Röhss:</t>
        </r>
        <r>
          <rPr>
            <sz val="9"/>
            <color indexed="81"/>
            <rFont val="Tahoma"/>
            <family val="2"/>
          </rPr>
          <t xml:space="preserve">
Additional hybrid which must include a Cadence action</t>
        </r>
      </text>
    </comment>
    <comment ref="Q11" authorId="0" shapeId="0" xr:uid="{25DDA953-95D9-44E1-B31D-ECD0E57C098A}">
      <text>
        <r>
          <rPr>
            <b/>
            <sz val="9"/>
            <color indexed="81"/>
            <rFont val="Tahoma"/>
            <family val="2"/>
          </rPr>
          <t>Thomas Röhss:</t>
        </r>
        <r>
          <rPr>
            <sz val="9"/>
            <color indexed="81"/>
            <rFont val="Tahoma"/>
            <family val="2"/>
          </rPr>
          <t xml:space="preserve">
Sustained Surface Connections (“SuCon”) with travel (1m or more) or rotation (180o or more)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<sst xmlns="http://schemas.openxmlformats.org/spreadsheetml/2006/main" count="9014" uniqueCount="2524">
  <si>
    <t>COACH CARD</t>
  </si>
  <si>
    <t>Competition:</t>
  </si>
  <si>
    <t>Event:</t>
  </si>
  <si>
    <t>Male Solo Technical</t>
  </si>
  <si>
    <t>Age group:</t>
  </si>
  <si>
    <t>Seniors 15 -&gt;</t>
  </si>
  <si>
    <t>Name of Competitor(s):</t>
  </si>
  <si>
    <t>ELEMENTS IN ORDER OF PERFORMANCE</t>
  </si>
  <si>
    <t>Events</t>
  </si>
  <si>
    <t>Male Solo Free</t>
  </si>
  <si>
    <t>Mixed Duet Technical</t>
  </si>
  <si>
    <t>Mixed Duet Free</t>
  </si>
  <si>
    <t>Acrobatic</t>
  </si>
  <si>
    <t>Age Group</t>
  </si>
  <si>
    <t>12 and under</t>
  </si>
  <si>
    <t>Parts</t>
  </si>
  <si>
    <t>Hybrid</t>
  </si>
  <si>
    <t>Technical Required Element</t>
  </si>
  <si>
    <t>Transition</t>
  </si>
  <si>
    <t>Hybrids</t>
  </si>
  <si>
    <t>TRE</t>
  </si>
  <si>
    <t>Technical</t>
  </si>
  <si>
    <t>Event / Age group</t>
  </si>
  <si>
    <t>Male Solo Free / 12 and under</t>
  </si>
  <si>
    <t>Mixed Duet Free / 12 and under</t>
  </si>
  <si>
    <t>Male Solo Technical / Seniors 15 -&gt;</t>
  </si>
  <si>
    <t>Male Solo Free / Seniors 15 -&gt;</t>
  </si>
  <si>
    <t>Mixed Duet Technical / Seniors 15 -&gt;</t>
  </si>
  <si>
    <t>Mixed Duet Free / Seniors 15 -&gt;</t>
  </si>
  <si>
    <t>Conn.Hybrid</t>
  </si>
  <si>
    <t>Conn.Mov.</t>
  </si>
  <si>
    <t>Thrust Hyb</t>
  </si>
  <si>
    <t>Solo hyb</t>
  </si>
  <si>
    <t>720 hyb</t>
  </si>
  <si>
    <t>Duet hyb</t>
  </si>
  <si>
    <t>Time start</t>
  </si>
  <si>
    <t>Time end</t>
  </si>
  <si>
    <t>Min</t>
  </si>
  <si>
    <t>Sec</t>
  </si>
  <si>
    <t>Part</t>
  </si>
  <si>
    <t>Variant</t>
  </si>
  <si>
    <t>Elements to use</t>
  </si>
  <si>
    <t>Used elements</t>
  </si>
  <si>
    <t>Trans.</t>
  </si>
  <si>
    <t>Conn.M</t>
  </si>
  <si>
    <t>Time</t>
  </si>
  <si>
    <t>Total time:</t>
  </si>
  <si>
    <t>Element
number</t>
  </si>
  <si>
    <t>Total</t>
  </si>
  <si>
    <t>Sum</t>
  </si>
  <si>
    <t>Routine total:</t>
  </si>
  <si>
    <t>DECLARED DIFFICULTY</t>
  </si>
  <si>
    <t>T1</t>
  </si>
  <si>
    <t>T2</t>
  </si>
  <si>
    <t>T7</t>
  </si>
  <si>
    <t>T8</t>
  </si>
  <si>
    <t>R1</t>
  </si>
  <si>
    <t>R2</t>
  </si>
  <si>
    <t>R3</t>
  </si>
  <si>
    <t>R4</t>
  </si>
  <si>
    <t>C3</t>
  </si>
  <si>
    <t>C4</t>
  </si>
  <si>
    <t>C5</t>
  </si>
  <si>
    <t>DD code</t>
  </si>
  <si>
    <t>DD value</t>
  </si>
  <si>
    <t>Bonus code</t>
  </si>
  <si>
    <t>Bonus value</t>
  </si>
  <si>
    <t>TRE code</t>
  </si>
  <si>
    <t>TRE value</t>
  </si>
  <si>
    <t>1a</t>
  </si>
  <si>
    <t>Solo</t>
  </si>
  <si>
    <t>Duet</t>
  </si>
  <si>
    <t>Mixed</t>
  </si>
  <si>
    <t>Team</t>
  </si>
  <si>
    <t>1b</t>
  </si>
  <si>
    <t>2a</t>
  </si>
  <si>
    <t>2b</t>
  </si>
  <si>
    <t>4a</t>
  </si>
  <si>
    <t>4b</t>
  </si>
  <si>
    <t>5a</t>
  </si>
  <si>
    <t>5b</t>
  </si>
  <si>
    <t>3a</t>
  </si>
  <si>
    <t>3b</t>
  </si>
  <si>
    <t>1PC</t>
  </si>
  <si>
    <t>2PC</t>
  </si>
  <si>
    <t>3PC</t>
  </si>
  <si>
    <t>4PC</t>
  </si>
  <si>
    <t>5PC</t>
  </si>
  <si>
    <t>6PC</t>
  </si>
  <si>
    <t>L-value</t>
  </si>
  <si>
    <t>L-code</t>
  </si>
  <si>
    <t>L</t>
  </si>
  <si>
    <t>L!</t>
  </si>
  <si>
    <t>SL&gt;</t>
  </si>
  <si>
    <t>L!f</t>
  </si>
  <si>
    <t>SL!&gt;</t>
  </si>
  <si>
    <t>Lr1</t>
  </si>
  <si>
    <t>J</t>
  </si>
  <si>
    <t>L!r1</t>
  </si>
  <si>
    <t>SL!f&gt;</t>
  </si>
  <si>
    <t>Jf</t>
  </si>
  <si>
    <t>L!fr1</t>
  </si>
  <si>
    <t>W!f</t>
  </si>
  <si>
    <t>Jd</t>
  </si>
  <si>
    <t>W!fr1</t>
  </si>
  <si>
    <t>W!s1F</t>
  </si>
  <si>
    <t>A-code</t>
  </si>
  <si>
    <t>A-value</t>
  </si>
  <si>
    <t>AJ</t>
  </si>
  <si>
    <t>AW</t>
  </si>
  <si>
    <t>Team AJ/AW</t>
  </si>
  <si>
    <t>Surf</t>
  </si>
  <si>
    <t>BS</t>
  </si>
  <si>
    <t>BL</t>
  </si>
  <si>
    <t>Team BS/BL</t>
  </si>
  <si>
    <t>B-code</t>
  </si>
  <si>
    <t>B-value</t>
  </si>
  <si>
    <t>St</t>
  </si>
  <si>
    <t>Team CO/CT/CC</t>
  </si>
  <si>
    <t>C-code</t>
  </si>
  <si>
    <t>C-value</t>
  </si>
  <si>
    <t>CO</t>
  </si>
  <si>
    <t>CT</t>
  </si>
  <si>
    <t>CC</t>
  </si>
  <si>
    <t>Thr~St</t>
  </si>
  <si>
    <t>Team PP/PF</t>
  </si>
  <si>
    <t>P-code</t>
  </si>
  <si>
    <t>P-value</t>
  </si>
  <si>
    <t>PP</t>
  </si>
  <si>
    <t>PF</t>
  </si>
  <si>
    <t>P</t>
  </si>
  <si>
    <t>p</t>
  </si>
  <si>
    <t>Knees</t>
  </si>
  <si>
    <t>B</t>
  </si>
  <si>
    <t>DB</t>
  </si>
  <si>
    <t>a</t>
  </si>
  <si>
    <t>Chariot</t>
  </si>
  <si>
    <t>Box</t>
  </si>
  <si>
    <t>2SupB</t>
  </si>
  <si>
    <t>2SupBB</t>
  </si>
  <si>
    <t>2Sup</t>
  </si>
  <si>
    <t>Triangle</t>
  </si>
  <si>
    <t>Rhombus</t>
  </si>
  <si>
    <t>Star</t>
  </si>
  <si>
    <t>Star6</t>
  </si>
  <si>
    <t>Star7</t>
  </si>
  <si>
    <t>Hand</t>
  </si>
  <si>
    <t>(2)</t>
  </si>
  <si>
    <t>Compass</t>
  </si>
  <si>
    <t>hand</t>
  </si>
  <si>
    <t>Fo</t>
  </si>
  <si>
    <t>Carp</t>
  </si>
  <si>
    <t>Carp4</t>
  </si>
  <si>
    <t>P4l</t>
  </si>
  <si>
    <t>'&gt;StSh&gt;</t>
  </si>
  <si>
    <t>‘&gt;’H&gt;</t>
  </si>
  <si>
    <t>‘~St&gt;</t>
  </si>
  <si>
    <t>‘&gt;Stsh</t>
  </si>
  <si>
    <t>‘~St</t>
  </si>
  <si>
    <t>‘~St*</t>
  </si>
  <si>
    <t>‘&gt;StH&gt;</t>
  </si>
  <si>
    <t>‘&gt;’&gt;</t>
  </si>
  <si>
    <t>Thr&gt;PP&gt;</t>
  </si>
  <si>
    <t>‘&gt;P&gt;</t>
  </si>
  <si>
    <t>Thr&gt;Pb₃&gt;</t>
  </si>
  <si>
    <t>Roll&gt;P&gt;</t>
  </si>
  <si>
    <t>St&gt;Stp</t>
  </si>
  <si>
    <t>Thr&gt;StH</t>
  </si>
  <si>
    <t>‘↷L</t>
  </si>
  <si>
    <t>St&gt;’H&gt;</t>
  </si>
  <si>
    <t>‘&gt;StSt&gt;</t>
  </si>
  <si>
    <t>Thr&gt;P</t>
  </si>
  <si>
    <t>L’</t>
  </si>
  <si>
    <t>St+Thr(2)</t>
  </si>
  <si>
    <t>Sn</t>
  </si>
  <si>
    <t>SnH</t>
  </si>
  <si>
    <t>St&gt;St&gt;</t>
  </si>
  <si>
    <t>St’’</t>
  </si>
  <si>
    <t>‘&gt;Stm</t>
  </si>
  <si>
    <t>Thr~St&gt;</t>
  </si>
  <si>
    <t>&gt;HandSurf&gt;</t>
  </si>
  <si>
    <t>‘&gt;L&gt;</t>
  </si>
  <si>
    <t>Toss&gt;hand&gt;</t>
  </si>
  <si>
    <t>Thr&gt;3head&gt;</t>
  </si>
  <si>
    <t>(2)Thr &gt;hand&gt;</t>
  </si>
  <si>
    <t>Thr&gt;Pb²&gt;</t>
  </si>
  <si>
    <t>‘&gt;Stp</t>
  </si>
  <si>
    <t>L&gt;hand</t>
  </si>
  <si>
    <t>st</t>
  </si>
  <si>
    <t>StH</t>
  </si>
  <si>
    <t>stH</t>
  </si>
  <si>
    <t>StH’</t>
  </si>
  <si>
    <t>StH’’</t>
  </si>
  <si>
    <t>StHt</t>
  </si>
  <si>
    <t>St’</t>
  </si>
  <si>
    <t>St’’Hp</t>
  </si>
  <si>
    <t>St’’Hc</t>
  </si>
  <si>
    <t>2SupH</t>
  </si>
  <si>
    <t>2mSup</t>
  </si>
  <si>
    <t>Ꞁ</t>
  </si>
  <si>
    <t>StH’’’</t>
  </si>
  <si>
    <t>Lh</t>
  </si>
  <si>
    <t>LM</t>
  </si>
  <si>
    <t>Lmu</t>
  </si>
  <si>
    <t>L(2)</t>
  </si>
  <si>
    <t>Lh(2)</t>
  </si>
  <si>
    <t>L’’</t>
  </si>
  <si>
    <t>LMp</t>
  </si>
  <si>
    <t>LSurf</t>
  </si>
  <si>
    <t>L»</t>
  </si>
  <si>
    <t>2Sup»</t>
  </si>
  <si>
    <t>Lh²*</t>
  </si>
  <si>
    <t>St»</t>
  </si>
  <si>
    <t>Trin</t>
  </si>
  <si>
    <t>St’’Hs</t>
  </si>
  <si>
    <t>Forw</t>
  </si>
  <si>
    <t>Back</t>
  </si>
  <si>
    <t>FORW</t>
  </si>
  <si>
    <t>Side</t>
  </si>
  <si>
    <t>Up</t>
  </si>
  <si>
    <t>Rev</t>
  </si>
  <si>
    <t>SiA</t>
  </si>
  <si>
    <t>F2A</t>
  </si>
  <si>
    <t>3pA</t>
  </si>
  <si>
    <t>3pA/</t>
  </si>
  <si>
    <t>FA</t>
  </si>
  <si>
    <t>HA</t>
  </si>
  <si>
    <t>Go</t>
  </si>
  <si>
    <t>H+L</t>
  </si>
  <si>
    <t>AA</t>
  </si>
  <si>
    <t>FP+FK</t>
  </si>
  <si>
    <t>SP+K</t>
  </si>
  <si>
    <t>AK/</t>
  </si>
  <si>
    <t>Br1K</t>
  </si>
  <si>
    <t>3pK/</t>
  </si>
  <si>
    <t>F2Ɔb</t>
  </si>
  <si>
    <t>F2Ɔ+H</t>
  </si>
  <si>
    <t>YY</t>
  </si>
  <si>
    <t>SiF+FB</t>
  </si>
  <si>
    <t>FA+PF</t>
  </si>
  <si>
    <t>SiF+FP</t>
  </si>
  <si>
    <t>SiF/</t>
  </si>
  <si>
    <t>BF+Le</t>
  </si>
  <si>
    <t>SP+L</t>
  </si>
  <si>
    <t>SP+KF</t>
  </si>
  <si>
    <t>F2A+PF</t>
  </si>
  <si>
    <t>4pF/</t>
  </si>
  <si>
    <t>SiFb/</t>
  </si>
  <si>
    <t>PF+FP</t>
  </si>
  <si>
    <t>SF/</t>
  </si>
  <si>
    <t>PL+LP</t>
  </si>
  <si>
    <t>PA3*</t>
  </si>
  <si>
    <t>4pA3*</t>
  </si>
  <si>
    <t>BrH</t>
  </si>
  <si>
    <t>3pH</t>
  </si>
  <si>
    <t>ShH</t>
  </si>
  <si>
    <t>F2H</t>
  </si>
  <si>
    <t>AH</t>
  </si>
  <si>
    <t>3pA2</t>
  </si>
  <si>
    <t>Br1A2</t>
  </si>
  <si>
    <t>FA2+PF</t>
  </si>
  <si>
    <t>F2A2+PF</t>
  </si>
  <si>
    <t>FB2+PF+KF</t>
  </si>
  <si>
    <t>F2B2+PF+PF</t>
  </si>
  <si>
    <t>F2A2</t>
  </si>
  <si>
    <t>4pA2</t>
  </si>
  <si>
    <t>FSh</t>
  </si>
  <si>
    <t>SiSh</t>
  </si>
  <si>
    <t>2LSh</t>
  </si>
  <si>
    <t>F1H</t>
  </si>
  <si>
    <t>ps</t>
  </si>
  <si>
    <t>psl</t>
  </si>
  <si>
    <t>PPx</t>
  </si>
  <si>
    <t>FPx</t>
  </si>
  <si>
    <t>FP</t>
  </si>
  <si>
    <t>FF</t>
  </si>
  <si>
    <t>SiSb</t>
  </si>
  <si>
    <t>Bp</t>
  </si>
  <si>
    <t>ShF</t>
  </si>
  <si>
    <t>E</t>
  </si>
  <si>
    <t>I</t>
  </si>
  <si>
    <t>PH/</t>
  </si>
  <si>
    <t>Li4H</t>
  </si>
  <si>
    <t>W</t>
  </si>
  <si>
    <t>Py</t>
  </si>
  <si>
    <t>AP</t>
  </si>
  <si>
    <t>ShF*</t>
  </si>
  <si>
    <t>Su</t>
  </si>
  <si>
    <t>Ta</t>
  </si>
  <si>
    <t>SiS</t>
  </si>
  <si>
    <t>F1S</t>
  </si>
  <si>
    <t>FS</t>
  </si>
  <si>
    <t>F1S/</t>
  </si>
  <si>
    <t>Le</t>
  </si>
  <si>
    <t>Li</t>
  </si>
  <si>
    <t>Ch</t>
  </si>
  <si>
    <t>Tw</t>
  </si>
  <si>
    <t>Tw*</t>
  </si>
  <si>
    <t>AV</t>
  </si>
  <si>
    <t>AF*</t>
  </si>
  <si>
    <t>SpSp</t>
  </si>
  <si>
    <t>SiF</t>
  </si>
  <si>
    <t>BBb</t>
  </si>
  <si>
    <t>Li*</t>
  </si>
  <si>
    <t>SiV</t>
  </si>
  <si>
    <t>AP/</t>
  </si>
  <si>
    <t>PH*</t>
  </si>
  <si>
    <t>FHP/</t>
  </si>
  <si>
    <t>FF*</t>
  </si>
  <si>
    <t>AL/</t>
  </si>
  <si>
    <t>FP*</t>
  </si>
  <si>
    <t>SiF*</t>
  </si>
  <si>
    <t>AP\</t>
  </si>
  <si>
    <t>ld</t>
  </si>
  <si>
    <t>he</t>
  </si>
  <si>
    <t>2he</t>
  </si>
  <si>
    <t>cr</t>
  </si>
  <si>
    <t>2cr</t>
  </si>
  <si>
    <t>kr</t>
  </si>
  <si>
    <t>vs</t>
  </si>
  <si>
    <t>2kr</t>
  </si>
  <si>
    <t>2vs</t>
  </si>
  <si>
    <t>sw</t>
  </si>
  <si>
    <t>2sw</t>
  </si>
  <si>
    <t>gl</t>
  </si>
  <si>
    <t>2gl</t>
  </si>
  <si>
    <t>ba</t>
  </si>
  <si>
    <t>2ba</t>
  </si>
  <si>
    <t>ea</t>
  </si>
  <si>
    <t>2ea</t>
  </si>
  <si>
    <t>sa</t>
  </si>
  <si>
    <t>2sa</t>
  </si>
  <si>
    <t>ne</t>
  </si>
  <si>
    <t>2ne</t>
  </si>
  <si>
    <t>ey</t>
  </si>
  <si>
    <t>2ey</t>
  </si>
  <si>
    <t>ln</t>
  </si>
  <si>
    <t>2ln</t>
  </si>
  <si>
    <t>do</t>
  </si>
  <si>
    <t>2do</t>
  </si>
  <si>
    <t>si</t>
  </si>
  <si>
    <t>2si</t>
  </si>
  <si>
    <t>mo</t>
  </si>
  <si>
    <t>2mo</t>
  </si>
  <si>
    <t>sh</t>
  </si>
  <si>
    <t>2sh</t>
  </si>
  <si>
    <t>spl</t>
  </si>
  <si>
    <t>pe</t>
  </si>
  <si>
    <t>2pe</t>
  </si>
  <si>
    <t>cd</t>
  </si>
  <si>
    <t>2cd</t>
  </si>
  <si>
    <t>sc</t>
  </si>
  <si>
    <t>2sc</t>
  </si>
  <si>
    <t>pt</t>
  </si>
  <si>
    <t>2pt</t>
  </si>
  <si>
    <t>co</t>
  </si>
  <si>
    <t>2co</t>
  </si>
  <si>
    <t>mr</t>
  </si>
  <si>
    <t>2mr</t>
  </si>
  <si>
    <t>sb</t>
  </si>
  <si>
    <t>2sb</t>
  </si>
  <si>
    <t>bi</t>
  </si>
  <si>
    <t>2bi</t>
  </si>
  <si>
    <t>fl</t>
  </si>
  <si>
    <t>2fl</t>
  </si>
  <si>
    <t>so</t>
  </si>
  <si>
    <t>2so</t>
  </si>
  <si>
    <t>tu</t>
  </si>
  <si>
    <t>2tu</t>
  </si>
  <si>
    <t>se</t>
  </si>
  <si>
    <t>2se</t>
  </si>
  <si>
    <t>ro</t>
  </si>
  <si>
    <t>2ro</t>
  </si>
  <si>
    <t>lp</t>
  </si>
  <si>
    <t>2lp</t>
  </si>
  <si>
    <t>bo</t>
  </si>
  <si>
    <t>2bo</t>
  </si>
  <si>
    <t>bb</t>
  </si>
  <si>
    <t>2bb</t>
  </si>
  <si>
    <t>kn</t>
  </si>
  <si>
    <t>2kn</t>
  </si>
  <si>
    <t>be</t>
  </si>
  <si>
    <t>2be</t>
  </si>
  <si>
    <t>to</t>
  </si>
  <si>
    <t>2to</t>
  </si>
  <si>
    <t>ow</t>
  </si>
  <si>
    <t>2ow</t>
  </si>
  <si>
    <t>br</t>
  </si>
  <si>
    <t>2br</t>
  </si>
  <si>
    <t>dr</t>
  </si>
  <si>
    <t>2dr</t>
  </si>
  <si>
    <t>qu</t>
  </si>
  <si>
    <t>2qu</t>
  </si>
  <si>
    <t>Thr</t>
  </si>
  <si>
    <t>Shou</t>
  </si>
  <si>
    <t>Sho</t>
  </si>
  <si>
    <t>Feet</t>
  </si>
  <si>
    <t>Sq</t>
  </si>
  <si>
    <t>2Form</t>
  </si>
  <si>
    <t>2Sup’</t>
  </si>
  <si>
    <t>Tripl</t>
  </si>
  <si>
    <t>3Pair</t>
  </si>
  <si>
    <t>surf</t>
  </si>
  <si>
    <t>feet</t>
  </si>
  <si>
    <t>ki</t>
  </si>
  <si>
    <t>2ki</t>
  </si>
  <si>
    <t>tk</t>
  </si>
  <si>
    <t>2tk</t>
  </si>
  <si>
    <t>pa</t>
  </si>
  <si>
    <t>2pa</t>
  </si>
  <si>
    <t>nj</t>
  </si>
  <si>
    <t>2nj</t>
  </si>
  <si>
    <t>pk</t>
  </si>
  <si>
    <t>2pk</t>
  </si>
  <si>
    <t>mn</t>
  </si>
  <si>
    <t>2mn</t>
  </si>
  <si>
    <t>sp</t>
  </si>
  <si>
    <t>2sp</t>
  </si>
  <si>
    <t>ar</t>
  </si>
  <si>
    <t>2ar</t>
  </si>
  <si>
    <t>kt</t>
  </si>
  <si>
    <t>2kt</t>
  </si>
  <si>
    <t>ma</t>
  </si>
  <si>
    <t>2ma</t>
  </si>
  <si>
    <t>ja</t>
  </si>
  <si>
    <t>2ja</t>
  </si>
  <si>
    <t>rg</t>
  </si>
  <si>
    <t>2rg</t>
  </si>
  <si>
    <t>T0,5</t>
  </si>
  <si>
    <t>T1,5</t>
  </si>
  <si>
    <t>t0,5</t>
  </si>
  <si>
    <t>t1</t>
  </si>
  <si>
    <t>t1,5</t>
  </si>
  <si>
    <t>t2</t>
  </si>
  <si>
    <t>s0,5</t>
  </si>
  <si>
    <t>S0,5</t>
  </si>
  <si>
    <t>s1</t>
  </si>
  <si>
    <t>s1,5</t>
  </si>
  <si>
    <t>s2</t>
  </si>
  <si>
    <t>s2,5</t>
  </si>
  <si>
    <t>s3</t>
  </si>
  <si>
    <t>h</t>
  </si>
  <si>
    <t>f1</t>
  </si>
  <si>
    <t>f1,5</t>
  </si>
  <si>
    <t>f2</t>
  </si>
  <si>
    <t>c</t>
  </si>
  <si>
    <t>d</t>
  </si>
  <si>
    <t>dt0,5</t>
  </si>
  <si>
    <t>dt1,5</t>
  </si>
  <si>
    <t>S0,5t0,5</t>
  </si>
  <si>
    <t>s1t0,5</t>
  </si>
  <si>
    <t>s1t1</t>
  </si>
  <si>
    <t>s1t1,5</t>
  </si>
  <si>
    <t>s1t2</t>
  </si>
  <si>
    <t>s1t2,5</t>
  </si>
  <si>
    <t>s2t0,5</t>
  </si>
  <si>
    <t>s2t1</t>
  </si>
  <si>
    <t>u1</t>
  </si>
  <si>
    <t>u2</t>
  </si>
  <si>
    <t>u3</t>
  </si>
  <si>
    <t>u4</t>
  </si>
  <si>
    <t>u5</t>
  </si>
  <si>
    <t>u6</t>
  </si>
  <si>
    <t>u7</t>
  </si>
  <si>
    <t>u8</t>
  </si>
  <si>
    <t>u9</t>
  </si>
  <si>
    <t>u10</t>
  </si>
  <si>
    <t>u11</t>
  </si>
  <si>
    <t>u12</t>
  </si>
  <si>
    <t>u13</t>
  </si>
  <si>
    <t>u14</t>
  </si>
  <si>
    <t>u15</t>
  </si>
  <si>
    <t>u16</t>
  </si>
  <si>
    <t>r0,5</t>
  </si>
  <si>
    <t>R0,5</t>
  </si>
  <si>
    <t>r0,5*</t>
  </si>
  <si>
    <t>r0,5!</t>
  </si>
  <si>
    <t>r0,5L</t>
  </si>
  <si>
    <t>r1</t>
  </si>
  <si>
    <t>r1*</t>
  </si>
  <si>
    <t>r1!</t>
  </si>
  <si>
    <t>r1L</t>
  </si>
  <si>
    <t>r1,5</t>
  </si>
  <si>
    <t>R1,5</t>
  </si>
  <si>
    <t>r1,5!</t>
  </si>
  <si>
    <t>r2</t>
  </si>
  <si>
    <t>r2*</t>
  </si>
  <si>
    <t>w1</t>
  </si>
  <si>
    <t>w2</t>
  </si>
  <si>
    <t>w3</t>
  </si>
  <si>
    <t>w4</t>
  </si>
  <si>
    <t>w5</t>
  </si>
  <si>
    <t>w6</t>
  </si>
  <si>
    <t>w7</t>
  </si>
  <si>
    <t>w8</t>
  </si>
  <si>
    <t>w9</t>
  </si>
  <si>
    <t>w10</t>
  </si>
  <si>
    <t>w11</t>
  </si>
  <si>
    <t>w12</t>
  </si>
  <si>
    <t>w13</t>
  </si>
  <si>
    <t>w14</t>
  </si>
  <si>
    <t>w15</t>
  </si>
  <si>
    <t>y1</t>
  </si>
  <si>
    <t>y2</t>
  </si>
  <si>
    <t>y3</t>
  </si>
  <si>
    <t>y4</t>
  </si>
  <si>
    <t>y5</t>
  </si>
  <si>
    <t>y6</t>
  </si>
  <si>
    <t>y7</t>
  </si>
  <si>
    <t>y8</t>
  </si>
  <si>
    <t>y9</t>
  </si>
  <si>
    <t>y10</t>
  </si>
  <si>
    <t>y11</t>
  </si>
  <si>
    <t>y12</t>
  </si>
  <si>
    <t>y13</t>
  </si>
  <si>
    <t>y14</t>
  </si>
  <si>
    <t>y15</t>
  </si>
  <si>
    <t>R/</t>
  </si>
  <si>
    <t>R/*</t>
  </si>
  <si>
    <t>R/l</t>
  </si>
  <si>
    <t>R0,5h</t>
  </si>
  <si>
    <t>R0,5l</t>
  </si>
  <si>
    <t>R1*</t>
  </si>
  <si>
    <t>R1h</t>
  </si>
  <si>
    <t>j1</t>
  </si>
  <si>
    <t>j2</t>
  </si>
  <si>
    <t>j3</t>
  </si>
  <si>
    <t>j4</t>
  </si>
  <si>
    <t>j5</t>
  </si>
  <si>
    <t>j6</t>
  </si>
  <si>
    <t>j7</t>
  </si>
  <si>
    <t>j8</t>
  </si>
  <si>
    <t>j9</t>
  </si>
  <si>
    <t>j10</t>
  </si>
  <si>
    <t>j11</t>
  </si>
  <si>
    <t>j12</t>
  </si>
  <si>
    <t>j13</t>
  </si>
  <si>
    <t>j14</t>
  </si>
  <si>
    <t>j15</t>
  </si>
  <si>
    <t>j16</t>
  </si>
  <si>
    <t>j17</t>
  </si>
  <si>
    <t>j18</t>
  </si>
  <si>
    <t>j19</t>
  </si>
  <si>
    <t>j20</t>
  </si>
  <si>
    <t>j21</t>
  </si>
  <si>
    <t>j22</t>
  </si>
  <si>
    <t>j23</t>
  </si>
  <si>
    <t>j24</t>
  </si>
  <si>
    <t>j25</t>
  </si>
  <si>
    <t>r/L</t>
  </si>
  <si>
    <t>Acrobatic Airborn</t>
  </si>
  <si>
    <t>Acrobatic Combined</t>
  </si>
  <si>
    <t>Acrobatic Platform</t>
  </si>
  <si>
    <t>Hybrid - Duet</t>
  </si>
  <si>
    <t>Hybrid - Solo</t>
  </si>
  <si>
    <t>DD-J</t>
  </si>
  <si>
    <t>DD-K</t>
  </si>
  <si>
    <t>DD-L</t>
  </si>
  <si>
    <t>DD-M</t>
  </si>
  <si>
    <t>DD-N</t>
  </si>
  <si>
    <t>DD-O</t>
  </si>
  <si>
    <t>DD-P</t>
  </si>
  <si>
    <t>DD-Q</t>
  </si>
  <si>
    <t>DD-R</t>
  </si>
  <si>
    <t>Last
(X)</t>
  </si>
  <si>
    <t>pi</t>
  </si>
  <si>
    <t>2pi</t>
  </si>
  <si>
    <t>wi</t>
  </si>
  <si>
    <t>2wi</t>
  </si>
  <si>
    <t>2ld</t>
  </si>
  <si>
    <t>2spl</t>
  </si>
  <si>
    <t>Saftey limit</t>
  </si>
  <si>
    <t>Acrobatic Balance</t>
  </si>
  <si>
    <t>H.Thrust</t>
  </si>
  <si>
    <t>H.Solo</t>
  </si>
  <si>
    <t>H.Duet</t>
  </si>
  <si>
    <t>N</t>
  </si>
  <si>
    <t>Y</t>
  </si>
  <si>
    <t>Technical:</t>
  </si>
  <si>
    <t>Free:</t>
  </si>
  <si>
    <t>Elem.1</t>
  </si>
  <si>
    <t>H/T/A</t>
  </si>
  <si>
    <t>B.M.</t>
  </si>
  <si>
    <t>Value</t>
  </si>
  <si>
    <t>Elem.2</t>
  </si>
  <si>
    <t>Elem.3</t>
  </si>
  <si>
    <t>Elem.4</t>
  </si>
  <si>
    <t>Elem.5</t>
  </si>
  <si>
    <t>Elem.6</t>
  </si>
  <si>
    <t>Elem.7</t>
  </si>
  <si>
    <t>Elem.8</t>
  </si>
  <si>
    <t>Elem.9</t>
  </si>
  <si>
    <t>Elem.10</t>
  </si>
  <si>
    <t>Elem.11</t>
  </si>
  <si>
    <t>ThrSt</t>
  </si>
  <si>
    <t>‘St&gt;</t>
  </si>
  <si>
    <t>‘St</t>
  </si>
  <si>
    <t>Thr↷L</t>
  </si>
  <si>
    <t>Thr&gt;hand&gt;</t>
  </si>
  <si>
    <t>Thr&gt;base&gt;</t>
  </si>
  <si>
    <t>ThrSt&gt;</t>
  </si>
  <si>
    <r>
      <rPr>
        <b/>
        <sz val="8"/>
        <rFont val="Tahoma"/>
        <family val="2"/>
      </rPr>
      <t>Competition:</t>
    </r>
  </si>
  <si>
    <r>
      <rPr>
        <b/>
        <sz val="8"/>
        <rFont val="Tahoma"/>
        <family val="2"/>
      </rPr>
      <t>Event:</t>
    </r>
  </si>
  <si>
    <t xml:space="preserve">  PRELIMS</t>
  </si>
  <si>
    <t xml:space="preserve">  FINALS</t>
  </si>
  <si>
    <r>
      <rPr>
        <b/>
        <sz val="8"/>
        <rFont val="Tahoma"/>
        <family val="2"/>
      </rPr>
      <t>Theme:</t>
    </r>
  </si>
  <si>
    <r>
      <rPr>
        <b/>
        <sz val="8"/>
        <rFont val="Tahoma"/>
        <family val="2"/>
      </rPr>
      <t>Name of competitor(s):</t>
    </r>
  </si>
  <si>
    <r>
      <rPr>
        <b/>
        <sz val="8"/>
        <rFont val="Tahoma"/>
        <family val="2"/>
      </rPr>
      <t>ELEMENTS IN ORDER OF PERFORMANCE</t>
    </r>
  </si>
  <si>
    <r>
      <rPr>
        <b/>
        <sz val="8"/>
        <rFont val="Tahoma"/>
        <family val="2"/>
      </rPr>
      <t>TIME</t>
    </r>
  </si>
  <si>
    <r>
      <rPr>
        <b/>
        <sz val="8"/>
        <rFont val="Tahoma"/>
        <family val="2"/>
      </rPr>
      <t>PART</t>
    </r>
  </si>
  <si>
    <r>
      <rPr>
        <b/>
        <sz val="8"/>
        <rFont val="Tahoma"/>
        <family val="2"/>
      </rPr>
      <t>EL</t>
    </r>
  </si>
  <si>
    <r>
      <rPr>
        <b/>
        <sz val="8"/>
        <rFont val="Tahoma"/>
        <family val="2"/>
      </rPr>
      <t>BASE MARK</t>
    </r>
  </si>
  <si>
    <r>
      <rPr>
        <b/>
        <sz val="8"/>
        <rFont val="Tahoma"/>
        <family val="2"/>
      </rPr>
      <t>DECLARED DIFFICULTY</t>
    </r>
  </si>
  <si>
    <r>
      <rPr>
        <b/>
        <sz val="8"/>
        <rFont val="Tahoma"/>
        <family val="2"/>
      </rPr>
      <t>DD</t>
    </r>
  </si>
  <si>
    <t>Theme:</t>
  </si>
  <si>
    <t>Prelim:</t>
  </si>
  <si>
    <t>Final:</t>
  </si>
  <si>
    <t>Total DD:</t>
  </si>
  <si>
    <t>__________________________________________________</t>
  </si>
  <si>
    <t>__________________________________________________________________________</t>
  </si>
  <si>
    <t>__________________________</t>
  </si>
  <si>
    <t xml:space="preserve">Signature: </t>
  </si>
  <si>
    <t xml:space="preserve">Date: </t>
  </si>
  <si>
    <r>
      <rPr>
        <b/>
        <sz val="48"/>
        <color rgb="FF0182C5"/>
        <rFont val="Calibri"/>
        <family val="2"/>
      </rPr>
      <t>COACH CARD</t>
    </r>
  </si>
  <si>
    <t>F</t>
  </si>
  <si>
    <t>C</t>
  </si>
  <si>
    <t>C3+</t>
  </si>
  <si>
    <t>C4+</t>
  </si>
  <si>
    <t>C5+</t>
  </si>
  <si>
    <t>TC</t>
  </si>
  <si>
    <t>Sweden</t>
  </si>
  <si>
    <t>Afghanistan - AFG</t>
  </si>
  <si>
    <t>Albania - ALB</t>
  </si>
  <si>
    <t>Algeria - ALG</t>
  </si>
  <si>
    <t>American Samoa - ASA</t>
  </si>
  <si>
    <t>Andorra - AND</t>
  </si>
  <si>
    <t>Angola - ANG</t>
  </si>
  <si>
    <t>Anguilla - AGU</t>
  </si>
  <si>
    <t>Antigua and Barbuda - ANT</t>
  </si>
  <si>
    <t>Argentina - ARG</t>
  </si>
  <si>
    <t>Armenia - ARM</t>
  </si>
  <si>
    <t>Aruba - ARU</t>
  </si>
  <si>
    <t>Australia - AUS</t>
  </si>
  <si>
    <t>Austria - AUT</t>
  </si>
  <si>
    <t>Azerbaijan - AZE</t>
  </si>
  <si>
    <t>Bahamas - BAH</t>
  </si>
  <si>
    <t>Bahrain - BRN</t>
  </si>
  <si>
    <t>Bangladesh - BAN</t>
  </si>
  <si>
    <t>Barbados - BAR</t>
  </si>
  <si>
    <t>Belarus - BLR</t>
  </si>
  <si>
    <t>Belgium - BEL</t>
  </si>
  <si>
    <t>Belize - BIZ</t>
  </si>
  <si>
    <t>Benin - BEN</t>
  </si>
  <si>
    <t>Bermuda - BER</t>
  </si>
  <si>
    <t>Bhutan - BHU</t>
  </si>
  <si>
    <t>Bolivia - BOL</t>
  </si>
  <si>
    <t>Bosnia and Herzegovina - BIH</t>
  </si>
  <si>
    <t>Botswana - BOT</t>
  </si>
  <si>
    <t>Brazil - BRA</t>
  </si>
  <si>
    <t>British Virgin Islands - IVB</t>
  </si>
  <si>
    <t>Brunei Darussalam - BRU</t>
  </si>
  <si>
    <t>Bulgaria - BUL</t>
  </si>
  <si>
    <t>Burkina Faso - BUR</t>
  </si>
  <si>
    <t>Burundi - BDI</t>
  </si>
  <si>
    <t>Cambodia - CAM</t>
  </si>
  <si>
    <t>Cameroon - CMR</t>
  </si>
  <si>
    <t>Canada - CAN</t>
  </si>
  <si>
    <t>Cape Verde - CPV</t>
  </si>
  <si>
    <t>Cayman Islands - CAY</t>
  </si>
  <si>
    <t>Central African Republic - CAF</t>
  </si>
  <si>
    <t>Chad - CHA</t>
  </si>
  <si>
    <t>Chile - CHI</t>
  </si>
  <si>
    <t>China - CHN</t>
  </si>
  <si>
    <t>Chinese Taipei - TPE</t>
  </si>
  <si>
    <t>Colombia - COL</t>
  </si>
  <si>
    <t>Comoros - COM</t>
  </si>
  <si>
    <t>Congo - CGO</t>
  </si>
  <si>
    <t>Cook Islands - COK</t>
  </si>
  <si>
    <t>Costa Rica - CRC</t>
  </si>
  <si>
    <t>Côte d'Ivoire - CIV</t>
  </si>
  <si>
    <t>Croatia - CRO</t>
  </si>
  <si>
    <t>Cuba - CUB</t>
  </si>
  <si>
    <t>Curacao - CUR</t>
  </si>
  <si>
    <t>Cyprus - CYP</t>
  </si>
  <si>
    <t>Czech Republic - CZE</t>
  </si>
  <si>
    <t>Democratic People's Republic of Korea - PRK</t>
  </si>
  <si>
    <t>Democratic Republic of the Congo - COD</t>
  </si>
  <si>
    <t>Democratic Republic of Timor-Leste - TLS</t>
  </si>
  <si>
    <t>Denmark - DEN</t>
  </si>
  <si>
    <t>Djibouti - DJI</t>
  </si>
  <si>
    <t>Dominica - DMA</t>
  </si>
  <si>
    <t>Dominican Republic - DOM</t>
  </si>
  <si>
    <t>Ecuador - ECU</t>
  </si>
  <si>
    <t>Egypt - EGY</t>
  </si>
  <si>
    <t>El Salvador - ESA</t>
  </si>
  <si>
    <t>Equatorial Guinea - GEQ</t>
  </si>
  <si>
    <t>Eritrea - ERI</t>
  </si>
  <si>
    <t>Estonia - EST</t>
  </si>
  <si>
    <t>Eswatini - SWZ</t>
  </si>
  <si>
    <t>Ethiopia - ETH</t>
  </si>
  <si>
    <t>Faroe Islands - FAR</t>
  </si>
  <si>
    <t>Federated States of Micronesia - FSM</t>
  </si>
  <si>
    <t>Fiji - FIJ</t>
  </si>
  <si>
    <t>Finland - FIN</t>
  </si>
  <si>
    <t>France - FRA</t>
  </si>
  <si>
    <t>Gabon - GAB</t>
  </si>
  <si>
    <t>Gambia - GAM</t>
  </si>
  <si>
    <t>Georgia - GEO</t>
  </si>
  <si>
    <t>Germany - GER</t>
  </si>
  <si>
    <t>Ghana - GHA</t>
  </si>
  <si>
    <t>Gibraltar - GIB</t>
  </si>
  <si>
    <t>Great Britain - GBR</t>
  </si>
  <si>
    <t>Greece - GRE</t>
  </si>
  <si>
    <t>Grenada - GRN</t>
  </si>
  <si>
    <t>Guam - GUM</t>
  </si>
  <si>
    <t>Guatemala - GUA</t>
  </si>
  <si>
    <t>Guinea - GUI</t>
  </si>
  <si>
    <t>Guinea-Bissau - GBS</t>
  </si>
  <si>
    <t>Guyana - GUY</t>
  </si>
  <si>
    <t>Haiti - HAI</t>
  </si>
  <si>
    <t>Honduras - HON</t>
  </si>
  <si>
    <t>Hong Kong - HKG</t>
  </si>
  <si>
    <t>Hungary - HUN</t>
  </si>
  <si>
    <t>Iceland - ISL</t>
  </si>
  <si>
    <t>India - IND</t>
  </si>
  <si>
    <t>Indonesia - INA</t>
  </si>
  <si>
    <t>Iraq - IRQ</t>
  </si>
  <si>
    <t>Ireland - IRL</t>
  </si>
  <si>
    <t>Islamic Republic of Iran - IRI</t>
  </si>
  <si>
    <t>Israel - ISR</t>
  </si>
  <si>
    <t>Italy - ITA</t>
  </si>
  <si>
    <t>Jamaica - JAM</t>
  </si>
  <si>
    <t>Japan - JPN</t>
  </si>
  <si>
    <t>Jordan - JOR</t>
  </si>
  <si>
    <t>Kazakhstan - KAZ</t>
  </si>
  <si>
    <t>Kenya - KEN</t>
  </si>
  <si>
    <t>Korea - KOR</t>
  </si>
  <si>
    <t>Kosovo - KOS</t>
  </si>
  <si>
    <t>Kuwait - KUW</t>
  </si>
  <si>
    <t>Kyrgyzstan - KGZ</t>
  </si>
  <si>
    <t>Lao People's Democratic Republic - LAO</t>
  </si>
  <si>
    <t>Latvia - LAT</t>
  </si>
  <si>
    <t>Lebanon - LBN</t>
  </si>
  <si>
    <t>Lesotho - LES</t>
  </si>
  <si>
    <t>Liberia - LBR</t>
  </si>
  <si>
    <t>Libya - LBA</t>
  </si>
  <si>
    <t>Liechtenstein - LIE</t>
  </si>
  <si>
    <t>Lithuania - LTU</t>
  </si>
  <si>
    <t>Luxembourg - LUX</t>
  </si>
  <si>
    <t>Macau - MAC</t>
  </si>
  <si>
    <t>Madagascar - MAD</t>
  </si>
  <si>
    <t>Malawi - MAW</t>
  </si>
  <si>
    <t>Malaysia - MAS</t>
  </si>
  <si>
    <t>Maldives - MDV</t>
  </si>
  <si>
    <t>Mali - MLI</t>
  </si>
  <si>
    <t>Malta - MLT</t>
  </si>
  <si>
    <t>Marshall Islands - MHL</t>
  </si>
  <si>
    <t>Mauritania - MTN</t>
  </si>
  <si>
    <t>Mauritius - MRI</t>
  </si>
  <si>
    <t>Mexico - MEX</t>
  </si>
  <si>
    <t>Moldova - MDA</t>
  </si>
  <si>
    <t>Monaco - MON</t>
  </si>
  <si>
    <t>Mongolia - MGL</t>
  </si>
  <si>
    <t>Montenegro - MNE</t>
  </si>
  <si>
    <t>Morocco - MAR</t>
  </si>
  <si>
    <t>Mozambique - MOZ</t>
  </si>
  <si>
    <t>Myanmar - MYA</t>
  </si>
  <si>
    <t>Namibia - NAM</t>
  </si>
  <si>
    <t>Nepal - NEP</t>
  </si>
  <si>
    <t>Netherlands - NED</t>
  </si>
  <si>
    <t>New Zealand - NZL</t>
  </si>
  <si>
    <t>Nicaragua - NCA</t>
  </si>
  <si>
    <t>Niger - NIG</t>
  </si>
  <si>
    <t>Nigeria - NGR</t>
  </si>
  <si>
    <t>North Macedonia - MKD</t>
  </si>
  <si>
    <t>Northern Mariana Islands - NMA</t>
  </si>
  <si>
    <t>Norway - NOR</t>
  </si>
  <si>
    <t>Oman - OMA</t>
  </si>
  <si>
    <t>Pakistan - PAK</t>
  </si>
  <si>
    <t>Palau - PLW</t>
  </si>
  <si>
    <t>Palestine - PLE</t>
  </si>
  <si>
    <t>Panama - PAN</t>
  </si>
  <si>
    <t>Papua New Guinea - PNG</t>
  </si>
  <si>
    <t>Paraguay - PAR</t>
  </si>
  <si>
    <t>Peru - PER</t>
  </si>
  <si>
    <t>Philippines - PHI</t>
  </si>
  <si>
    <t>Poland - POL</t>
  </si>
  <si>
    <t>Portugal - POR</t>
  </si>
  <si>
    <t>Puerto Rico - PUR</t>
  </si>
  <si>
    <t>Qatar - QAT</t>
  </si>
  <si>
    <t>Romania - ROU</t>
  </si>
  <si>
    <t>Russia - RUS</t>
  </si>
  <si>
    <t>Rwanda - RWA</t>
  </si>
  <si>
    <t>Saint Lucia - LCA</t>
  </si>
  <si>
    <t>Samoa - SAM</t>
  </si>
  <si>
    <t>San Marino - SMR</t>
  </si>
  <si>
    <t>Saudi Arabia - KSA</t>
  </si>
  <si>
    <t>Senegal - SEN</t>
  </si>
  <si>
    <t>Serbia - SRB</t>
  </si>
  <si>
    <t>Seychelles - SEY</t>
  </si>
  <si>
    <t>Sierra Leone - SLE</t>
  </si>
  <si>
    <t>Singapore - SGP</t>
  </si>
  <si>
    <t>Sint Maarten - MAA</t>
  </si>
  <si>
    <t>Slovakia - SVK</t>
  </si>
  <si>
    <t>Slovenia - SLO</t>
  </si>
  <si>
    <t>Solomon Islands - SOL</t>
  </si>
  <si>
    <t>Somalia - SOM</t>
  </si>
  <si>
    <t>South Africa - RSA</t>
  </si>
  <si>
    <t>Spain - ESP</t>
  </si>
  <si>
    <t>Sri Lanka - SRI</t>
  </si>
  <si>
    <t>St. Kitts and Nevis - SKN</t>
  </si>
  <si>
    <t>St. Vincent and Grenadines - VIN</t>
  </si>
  <si>
    <t>Sudan - SUD</t>
  </si>
  <si>
    <t>Suriname - SUR</t>
  </si>
  <si>
    <t>Sweden - SWE</t>
  </si>
  <si>
    <t>Switzerland - SUI</t>
  </si>
  <si>
    <t>Syrian Arab Republic - SYR</t>
  </si>
  <si>
    <t>Tajikistan - TJK</t>
  </si>
  <si>
    <t>Tanzania - TAN</t>
  </si>
  <si>
    <t>Thailand - THA</t>
  </si>
  <si>
    <t>Togo - TOG</t>
  </si>
  <si>
    <t>Tonga - TGA</t>
  </si>
  <si>
    <t>Trinidad and Tobago - TTO</t>
  </si>
  <si>
    <t>Tunisia - TUN</t>
  </si>
  <si>
    <t>Turkmenistan - TKM</t>
  </si>
  <si>
    <t>Turks and Caicos Islands - TCN</t>
  </si>
  <si>
    <t>Uganda - UGA</t>
  </si>
  <si>
    <t>Ukraine - UKR</t>
  </si>
  <si>
    <t>United Arab Emirates - UAE</t>
  </si>
  <si>
    <t>United States of America - USA</t>
  </si>
  <si>
    <t>Uruguay - URU</t>
  </si>
  <si>
    <t>Uzbekistan - UZB</t>
  </si>
  <si>
    <t>Vanuatu - VAN</t>
  </si>
  <si>
    <t>Venezuela - VEN</t>
  </si>
  <si>
    <t>Vietnam - VIE</t>
  </si>
  <si>
    <t>Virgin Islands, US - ISV</t>
  </si>
  <si>
    <t>Yemen - YEM</t>
  </si>
  <si>
    <t>Zambia - ZAM</t>
  </si>
  <si>
    <t>Zimbabwe - ZIM</t>
  </si>
  <si>
    <t>Democratic Republic of Timor</t>
  </si>
  <si>
    <t>Guinea</t>
  </si>
  <si>
    <t>GBS</t>
  </si>
  <si>
    <t>AFG</t>
  </si>
  <si>
    <t>ALB</t>
  </si>
  <si>
    <t>ALG</t>
  </si>
  <si>
    <t>ASA</t>
  </si>
  <si>
    <t>AND</t>
  </si>
  <si>
    <t>ANG</t>
  </si>
  <si>
    <t>AGU</t>
  </si>
  <si>
    <t>ANT</t>
  </si>
  <si>
    <t>ARG</t>
  </si>
  <si>
    <t>ARM</t>
  </si>
  <si>
    <t>ARU</t>
  </si>
  <si>
    <t>AUS</t>
  </si>
  <si>
    <t>AUT</t>
  </si>
  <si>
    <t>AZE</t>
  </si>
  <si>
    <t>BAH</t>
  </si>
  <si>
    <t>BRN</t>
  </si>
  <si>
    <t>BAN</t>
  </si>
  <si>
    <t>BAR</t>
  </si>
  <si>
    <t>BLR</t>
  </si>
  <si>
    <t>BEL</t>
  </si>
  <si>
    <t>BIZ</t>
  </si>
  <si>
    <t>BEN</t>
  </si>
  <si>
    <t>BER</t>
  </si>
  <si>
    <t>BHU</t>
  </si>
  <si>
    <t>BOL</t>
  </si>
  <si>
    <t>BIH</t>
  </si>
  <si>
    <t>BOT</t>
  </si>
  <si>
    <t>BRA</t>
  </si>
  <si>
    <t>IVB</t>
  </si>
  <si>
    <t>BRU</t>
  </si>
  <si>
    <t>BUL</t>
  </si>
  <si>
    <t>BUR</t>
  </si>
  <si>
    <t>BDI</t>
  </si>
  <si>
    <t>CAM</t>
  </si>
  <si>
    <t>CMR</t>
  </si>
  <si>
    <t>CAN</t>
  </si>
  <si>
    <t>CPV</t>
  </si>
  <si>
    <t>CAY</t>
  </si>
  <si>
    <t>CAF</t>
  </si>
  <si>
    <t>CHA</t>
  </si>
  <si>
    <t>CHI</t>
  </si>
  <si>
    <t>CHN</t>
  </si>
  <si>
    <t>TPE</t>
  </si>
  <si>
    <t>COL</t>
  </si>
  <si>
    <t>COM</t>
  </si>
  <si>
    <t>CGO</t>
  </si>
  <si>
    <t>COK</t>
  </si>
  <si>
    <t>CRC</t>
  </si>
  <si>
    <t>CIV</t>
  </si>
  <si>
    <t>CRO</t>
  </si>
  <si>
    <t>CUB</t>
  </si>
  <si>
    <t>CUR</t>
  </si>
  <si>
    <t>CYP</t>
  </si>
  <si>
    <t>CZE</t>
  </si>
  <si>
    <t>PRK</t>
  </si>
  <si>
    <t>COD</t>
  </si>
  <si>
    <t>TLS</t>
  </si>
  <si>
    <t>DEN</t>
  </si>
  <si>
    <t>DJI</t>
  </si>
  <si>
    <t>DMA</t>
  </si>
  <si>
    <t>DOM</t>
  </si>
  <si>
    <t>ECU</t>
  </si>
  <si>
    <t>EGY</t>
  </si>
  <si>
    <t>ESA</t>
  </si>
  <si>
    <t>GEQ</t>
  </si>
  <si>
    <t>ERI</t>
  </si>
  <si>
    <t>EST</t>
  </si>
  <si>
    <t>SWZ</t>
  </si>
  <si>
    <t>ETH</t>
  </si>
  <si>
    <t>FAR</t>
  </si>
  <si>
    <t>FSM</t>
  </si>
  <si>
    <t>FIJ</t>
  </si>
  <si>
    <t>FIN</t>
  </si>
  <si>
    <t>FRA</t>
  </si>
  <si>
    <t>GAB</t>
  </si>
  <si>
    <t>GAM</t>
  </si>
  <si>
    <t>GEO</t>
  </si>
  <si>
    <t>GER</t>
  </si>
  <si>
    <t>GHA</t>
  </si>
  <si>
    <t>GIB</t>
  </si>
  <si>
    <t>GBR</t>
  </si>
  <si>
    <t>GRE</t>
  </si>
  <si>
    <t>GRN</t>
  </si>
  <si>
    <t>GUM</t>
  </si>
  <si>
    <t>GUA</t>
  </si>
  <si>
    <t>GUI</t>
  </si>
  <si>
    <t>GUY</t>
  </si>
  <si>
    <t>HAI</t>
  </si>
  <si>
    <t>HON</t>
  </si>
  <si>
    <t>HKG</t>
  </si>
  <si>
    <t>HUN</t>
  </si>
  <si>
    <t>ISL</t>
  </si>
  <si>
    <t>IND</t>
  </si>
  <si>
    <t>INA</t>
  </si>
  <si>
    <t>IRQ</t>
  </si>
  <si>
    <t>IRL</t>
  </si>
  <si>
    <t>IRI</t>
  </si>
  <si>
    <t>ISR</t>
  </si>
  <si>
    <t>ITA</t>
  </si>
  <si>
    <t>JAM</t>
  </si>
  <si>
    <t>JPN</t>
  </si>
  <si>
    <t>JOR</t>
  </si>
  <si>
    <t>KAZ</t>
  </si>
  <si>
    <t>KEN</t>
  </si>
  <si>
    <t>KOR</t>
  </si>
  <si>
    <t>KOS</t>
  </si>
  <si>
    <t>KUW</t>
  </si>
  <si>
    <t>KGZ</t>
  </si>
  <si>
    <t>LAO</t>
  </si>
  <si>
    <t>LAT</t>
  </si>
  <si>
    <t>LBN</t>
  </si>
  <si>
    <t>LES</t>
  </si>
  <si>
    <t>LBR</t>
  </si>
  <si>
    <t>LBA</t>
  </si>
  <si>
    <t>LIE</t>
  </si>
  <si>
    <t>LTU</t>
  </si>
  <si>
    <t>LUX</t>
  </si>
  <si>
    <t>MAC</t>
  </si>
  <si>
    <t>MAD</t>
  </si>
  <si>
    <t>MAW</t>
  </si>
  <si>
    <t>MAS</t>
  </si>
  <si>
    <t>MDV</t>
  </si>
  <si>
    <t>MLI</t>
  </si>
  <si>
    <t>MLT</t>
  </si>
  <si>
    <t>MHL</t>
  </si>
  <si>
    <t>MTN</t>
  </si>
  <si>
    <t>MRI</t>
  </si>
  <si>
    <t>MEX</t>
  </si>
  <si>
    <t>MDA</t>
  </si>
  <si>
    <t>MON</t>
  </si>
  <si>
    <t>MGL</t>
  </si>
  <si>
    <t>MNE</t>
  </si>
  <si>
    <t>MAR</t>
  </si>
  <si>
    <t>MOZ</t>
  </si>
  <si>
    <t>MYA</t>
  </si>
  <si>
    <t>NAM</t>
  </si>
  <si>
    <t>NEP</t>
  </si>
  <si>
    <t>NED</t>
  </si>
  <si>
    <t>NZL</t>
  </si>
  <si>
    <t>NCA</t>
  </si>
  <si>
    <t>NIG</t>
  </si>
  <si>
    <t>NGR</t>
  </si>
  <si>
    <t>MKD</t>
  </si>
  <si>
    <t>NMA</t>
  </si>
  <si>
    <t>NOR</t>
  </si>
  <si>
    <t>OMA</t>
  </si>
  <si>
    <t>PAK</t>
  </si>
  <si>
    <t>PLW</t>
  </si>
  <si>
    <t>PLE</t>
  </si>
  <si>
    <t>PAN</t>
  </si>
  <si>
    <t>PNG</t>
  </si>
  <si>
    <t>PAR</t>
  </si>
  <si>
    <t>PER</t>
  </si>
  <si>
    <t>PHI</t>
  </si>
  <si>
    <t>POL</t>
  </si>
  <si>
    <t>POR</t>
  </si>
  <si>
    <t>PUR</t>
  </si>
  <si>
    <t>QAT</t>
  </si>
  <si>
    <t>ROU</t>
  </si>
  <si>
    <t>RUS</t>
  </si>
  <si>
    <t>RWA</t>
  </si>
  <si>
    <t>LCA</t>
  </si>
  <si>
    <t>SAM</t>
  </si>
  <si>
    <t>SMR</t>
  </si>
  <si>
    <t>KSA</t>
  </si>
  <si>
    <t>SEN</t>
  </si>
  <si>
    <t>SRB</t>
  </si>
  <si>
    <t>SEY</t>
  </si>
  <si>
    <t>SLE</t>
  </si>
  <si>
    <t>SGP</t>
  </si>
  <si>
    <t>MAA</t>
  </si>
  <si>
    <t>SVK</t>
  </si>
  <si>
    <t>SLO</t>
  </si>
  <si>
    <t>SOL</t>
  </si>
  <si>
    <t>SOM</t>
  </si>
  <si>
    <t>RSA</t>
  </si>
  <si>
    <t>ESP</t>
  </si>
  <si>
    <t>SRI</t>
  </si>
  <si>
    <t>SKN</t>
  </si>
  <si>
    <t>VIN</t>
  </si>
  <si>
    <t>SUD</t>
  </si>
  <si>
    <t>SUR</t>
  </si>
  <si>
    <t>SWE</t>
  </si>
  <si>
    <t>SUI</t>
  </si>
  <si>
    <t>SYR</t>
  </si>
  <si>
    <t>TJK</t>
  </si>
  <si>
    <t>TAN</t>
  </si>
  <si>
    <t>THA</t>
  </si>
  <si>
    <t>TOG</t>
  </si>
  <si>
    <t>TGA</t>
  </si>
  <si>
    <t>TTO</t>
  </si>
  <si>
    <t>TUN</t>
  </si>
  <si>
    <t>TUR</t>
  </si>
  <si>
    <t>TKM</t>
  </si>
  <si>
    <t>TCN</t>
  </si>
  <si>
    <t>UGA</t>
  </si>
  <si>
    <t>UKR</t>
  </si>
  <si>
    <t>UAE</t>
  </si>
  <si>
    <t>USA</t>
  </si>
  <si>
    <t>URU</t>
  </si>
  <si>
    <t>UZB</t>
  </si>
  <si>
    <t>VAN</t>
  </si>
  <si>
    <t>VEN</t>
  </si>
  <si>
    <t>VIE</t>
  </si>
  <si>
    <t>ISV</t>
  </si>
  <si>
    <t>YEM</t>
  </si>
  <si>
    <t>ZAM</t>
  </si>
  <si>
    <t>ZIM</t>
  </si>
  <si>
    <t>Afghanistan</t>
  </si>
  <si>
    <t>Albania</t>
  </si>
  <si>
    <t>Algeria</t>
  </si>
  <si>
    <t>Andorra</t>
  </si>
  <si>
    <t>Angola</t>
  </si>
  <si>
    <t>Anguilla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</si>
  <si>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</si>
  <si>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</si>
  <si>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</si>
  <si>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</si>
  <si>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</si>
  <si>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</si>
  <si>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</si>
  <si>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</si>
  <si>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</si>
  <si>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</si>
  <si>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</si>
  <si>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</si>
  <si>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</si>
  <si>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</si>
  <si>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</si>
  <si>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</si>
  <si>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</si>
  <si>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Botswana</t>
  </si>
  <si>
    <t>Brazil</t>
  </si>
  <si>
    <t>Bulgaria</t>
  </si>
  <si>
    <t>Burundi</t>
  </si>
  <si>
    <t>Cambodia</t>
  </si>
  <si>
    <t>Cameroon</t>
  </si>
  <si>
    <t>Canada</t>
  </si>
  <si>
    <t>Chad</t>
  </si>
  <si>
    <t>Chile</t>
  </si>
  <si>
    <t>China</t>
  </si>
  <si>
    <t>Colombia</t>
  </si>
  <si>
    <t>Comoros</t>
  </si>
  <si>
    <t>Congo</t>
  </si>
  <si>
    <t>Croatia</t>
  </si>
  <si>
    <t>Cuba</t>
  </si>
  <si>
    <t>Curacao</t>
  </si>
  <si>
    <t>Cyprus</t>
  </si>
  <si>
    <t>Denmark</t>
  </si>
  <si>
    <t>Djibouti</t>
  </si>
  <si>
    <t>Dominica</t>
  </si>
  <si>
    <t>Ecuador</t>
  </si>
  <si>
    <t>Egypt</t>
  </si>
  <si>
    <t>Eritrea</t>
  </si>
  <si>
    <t>Estonia</t>
  </si>
  <si>
    <t>Eswatini</t>
  </si>
  <si>
    <t>Ethiopia</t>
  </si>
  <si>
    <t>Fiji</t>
  </si>
  <si>
    <t>Finland</t>
  </si>
  <si>
    <t>France</t>
  </si>
  <si>
    <t>Gabon</t>
  </si>
  <si>
    <t>Gambia</t>
  </si>
  <si>
    <t>Georgia</t>
  </si>
  <si>
    <t>Germany</t>
  </si>
  <si>
    <t>Ghana</t>
  </si>
  <si>
    <t>Gibraltar</t>
  </si>
  <si>
    <t>Greece</t>
  </si>
  <si>
    <t>Grenada</t>
  </si>
  <si>
    <t>Guam</t>
  </si>
  <si>
    <t>Guatemala</t>
  </si>
  <si>
    <t>Guyana</t>
  </si>
  <si>
    <t>Haiti</t>
  </si>
  <si>
    <t>Honduras</t>
  </si>
  <si>
    <t>Hungary</t>
  </si>
  <si>
    <t>Iceland</t>
  </si>
  <si>
    <t>India</t>
  </si>
  <si>
    <t>Indonesia</t>
  </si>
  <si>
    <t>Iraq</t>
  </si>
  <si>
    <t>Ireland</t>
  </si>
  <si>
    <t>Israel</t>
  </si>
  <si>
    <t>Italy</t>
  </si>
  <si>
    <t>Jamaica</t>
  </si>
  <si>
    <t>Japan</t>
  </si>
  <si>
    <t>Jordan</t>
  </si>
  <si>
    <t>Kazakhstan</t>
  </si>
  <si>
    <t>Kenya</t>
  </si>
  <si>
    <t>Korea</t>
  </si>
  <si>
    <t>Kosovo</t>
  </si>
  <si>
    <t>Kuwait</t>
  </si>
  <si>
    <t>Kyrgyzstan</t>
  </si>
  <si>
    <t>Latvia</t>
  </si>
  <si>
    <t>Lebanon</t>
  </si>
  <si>
    <t>Lesotho</t>
  </si>
  <si>
    <t>Liberia</t>
  </si>
  <si>
    <t>Libya</t>
  </si>
  <si>
    <t>Liechtenstein</t>
  </si>
  <si>
    <t>Lithuania</t>
  </si>
  <si>
    <t>Luxembourg</t>
  </si>
  <si>
    <t>Macau</t>
  </si>
  <si>
    <t>Madagascar</t>
  </si>
  <si>
    <t>Malawi</t>
  </si>
  <si>
    <t>Malaysia</t>
  </si>
  <si>
    <t>Maldives</t>
  </si>
  <si>
    <t>Mali</t>
  </si>
  <si>
    <t>Malta</t>
  </si>
  <si>
    <t>Mauritania</t>
  </si>
  <si>
    <t>Mauritius</t>
  </si>
  <si>
    <t>Mexico</t>
  </si>
  <si>
    <t>Moldova</t>
  </si>
  <si>
    <t>Monaco</t>
  </si>
  <si>
    <t>Mongolia</t>
  </si>
  <si>
    <t>Montenegro</t>
  </si>
  <si>
    <t>Morocco</t>
  </si>
  <si>
    <t>Mozambique</t>
  </si>
  <si>
    <t>Myanmar</t>
  </si>
  <si>
    <t>Namibia</t>
  </si>
  <si>
    <t>Nepal</t>
  </si>
  <si>
    <t>Netherlands</t>
  </si>
  <si>
    <t>Nicaragua</t>
  </si>
  <si>
    <t>Niger</t>
  </si>
  <si>
    <t>Nigeria</t>
  </si>
  <si>
    <t>Norway</t>
  </si>
  <si>
    <t>Oman</t>
  </si>
  <si>
    <t>Pakistan</t>
  </si>
  <si>
    <t>Palau</t>
  </si>
  <si>
    <t>Palestine</t>
  </si>
  <si>
    <t>Panama</t>
  </si>
  <si>
    <t>Paraguay</t>
  </si>
  <si>
    <t>Peru</t>
  </si>
  <si>
    <t>Philippines</t>
  </si>
  <si>
    <t>Poland</t>
  </si>
  <si>
    <t>Portugal</t>
  </si>
  <si>
    <t>Qatar</t>
  </si>
  <si>
    <t>Romania</t>
  </si>
  <si>
    <t>Russia</t>
  </si>
  <si>
    <t>Rwanda</t>
  </si>
  <si>
    <t>Samoa</t>
  </si>
  <si>
    <t>Senegal</t>
  </si>
  <si>
    <t>Serbia</t>
  </si>
  <si>
    <t>Seychelles</t>
  </si>
  <si>
    <t>Singapore</t>
  </si>
  <si>
    <t>Slovakia</t>
  </si>
  <si>
    <t>Slovenia</t>
  </si>
  <si>
    <t>Somalia</t>
  </si>
  <si>
    <t>Spain</t>
  </si>
  <si>
    <t>Sudan</t>
  </si>
  <si>
    <t>Suriname</t>
  </si>
  <si>
    <t>Switzerland</t>
  </si>
  <si>
    <t>Tajikistan</t>
  </si>
  <si>
    <t>Tanzania</t>
  </si>
  <si>
    <t>Thailand</t>
  </si>
  <si>
    <t>Togo</t>
  </si>
  <si>
    <t>Tonga</t>
  </si>
  <si>
    <t>Tunisia</t>
  </si>
  <si>
    <t>Turkmenistan</t>
  </si>
  <si>
    <t>Uganda</t>
  </si>
  <si>
    <t>Ukraine</t>
  </si>
  <si>
    <t>Uruguay</t>
  </si>
  <si>
    <t>Uzbekistan</t>
  </si>
  <si>
    <t>Vanuatu</t>
  </si>
  <si>
    <t>Venezuela</t>
  </si>
  <si>
    <t>Vietnam</t>
  </si>
  <si>
    <t>Yemen</t>
  </si>
  <si>
    <t>Zambia</t>
  </si>
  <si>
    <t>Zimbabwe</t>
  </si>
  <si>
    <t>American Samoa</t>
  </si>
  <si>
    <t>Antigua and Barbuda</t>
  </si>
  <si>
    <t>Bosnia and Herzegovina</t>
  </si>
  <si>
    <t>British Virgin Islands</t>
  </si>
  <si>
    <t>Burkina Faso</t>
  </si>
  <si>
    <t>Cape Verde</t>
  </si>
  <si>
    <t>Cayman Islands</t>
  </si>
  <si>
    <t>Central African Republic</t>
  </si>
  <si>
    <t>Chinese Taipei</t>
  </si>
  <si>
    <t>Cook Islands</t>
  </si>
  <si>
    <t>Costa Rica</t>
  </si>
  <si>
    <t>Côte d'Ivoire</t>
  </si>
  <si>
    <t>Czech Republic</t>
  </si>
  <si>
    <t>Democratic People's Republic of Korea</t>
  </si>
  <si>
    <t>Democratic Republic of the Congo</t>
  </si>
  <si>
    <t>Dominican Republic</t>
  </si>
  <si>
    <t>El Salvador</t>
  </si>
  <si>
    <t>Equatorial Guinea</t>
  </si>
  <si>
    <t>Federated States of Micronesia</t>
  </si>
  <si>
    <t>Faroe Islands</t>
  </si>
  <si>
    <t>Great Britain</t>
  </si>
  <si>
    <t>Guinea-Bissau</t>
  </si>
  <si>
    <t>Hong Kong</t>
  </si>
  <si>
    <t>Islamic Republic of Iran</t>
  </si>
  <si>
    <t>Lao People's Democratic Republic</t>
  </si>
  <si>
    <t>Marshall Islands</t>
  </si>
  <si>
    <t>North Macedonia</t>
  </si>
  <si>
    <t>Northern Mariana Islands</t>
  </si>
  <si>
    <t>Papua New Guinea</t>
  </si>
  <si>
    <t>San Marino</t>
  </si>
  <si>
    <t>Saudi Arabia</t>
  </si>
  <si>
    <t>Sierra Leone</t>
  </si>
  <si>
    <t>Sint Maarten</t>
  </si>
  <si>
    <t>Solomon Islands</t>
  </si>
  <si>
    <t>South Africa</t>
  </si>
  <si>
    <t>Sri Lanka</t>
  </si>
  <si>
    <t>St. Kitts and Nevis</t>
  </si>
  <si>
    <t>St. Vincent and Grenadines</t>
  </si>
  <si>
    <t>Syrian Arab Republic</t>
  </si>
  <si>
    <t>Trinidad and Tobago</t>
  </si>
  <si>
    <t>Turks and Caicos Islands</t>
  </si>
  <si>
    <t>United Arab Emirates</t>
  </si>
  <si>
    <t>United States of America</t>
  </si>
  <si>
    <t>Brunei Darussalam</t>
  </si>
  <si>
    <t>New Zealand</t>
  </si>
  <si>
    <t>Puerto Rico</t>
  </si>
  <si>
    <t>Saint Lucia</t>
  </si>
  <si>
    <t>Virgin Islands, US</t>
  </si>
  <si>
    <t/>
  </si>
  <si>
    <t>&gt;   Choose if to use "Federation" or "Club"</t>
  </si>
  <si>
    <t>&gt;   Write the name of the competition</t>
  </si>
  <si>
    <t>&gt;   Choose Event for this CC</t>
  </si>
  <si>
    <t>&gt;   Choose Age group for this CC</t>
  </si>
  <si>
    <t>&gt;  Write the name of the participant(s)</t>
  </si>
  <si>
    <t>And also how many elements that has been used.</t>
  </si>
  <si>
    <t>&gt;   Write the end time for the 1st part of the program (Minutes + Secoinds).</t>
  </si>
  <si>
    <t>&gt;   Declare bonus, if any.</t>
  </si>
  <si>
    <t>Time for chosen event will also be visable.</t>
  </si>
  <si>
    <t>&gt;   Continue the same way untill full program is declared.</t>
  </si>
  <si>
    <t>&gt;   Write "X" in the column "Last(X)" on the row for the last part of the program.</t>
  </si>
  <si>
    <t>&gt;   Double check that everything is correct.</t>
  </si>
  <si>
    <t>&gt;   Go to the "Print" sheet</t>
  </si>
  <si>
    <t>&gt;   Go to the "Coach Card" sheet</t>
  </si>
  <si>
    <t>&gt;   Print out the Coach Card</t>
  </si>
  <si>
    <t>&gt;   Paste the copied cells into the difficulty-sheet in the scoring program.</t>
  </si>
  <si>
    <t>Instructions</t>
  </si>
  <si>
    <t>TRE check</t>
  </si>
  <si>
    <t>2ig</t>
  </si>
  <si>
    <t xml:space="preserve">3pA2 </t>
  </si>
  <si>
    <t xml:space="preserve">AA </t>
  </si>
  <si>
    <t xml:space="preserve">SiF/ </t>
  </si>
  <si>
    <t>&gt;   Change the logo as you please. Both in the "Coach Card"- and "Print"-sheet.</t>
  </si>
  <si>
    <t xml:space="preserve">‘&gt;Stsh </t>
  </si>
  <si>
    <t>Js1B</t>
  </si>
  <si>
    <t>Jpd</t>
  </si>
  <si>
    <t>JsF1B</t>
  </si>
  <si>
    <t>W!r1</t>
  </si>
  <si>
    <t>O</t>
  </si>
  <si>
    <t>SF+FB</t>
  </si>
  <si>
    <t>Px1P</t>
  </si>
  <si>
    <t>FK+&gt;FK1</t>
  </si>
  <si>
    <t>SiF1</t>
  </si>
  <si>
    <t>y16</t>
  </si>
  <si>
    <t>PK+KP</t>
  </si>
  <si>
    <t>St&gt;StH</t>
  </si>
  <si>
    <t>StH↷L</t>
  </si>
  <si>
    <t>‘~StH</t>
  </si>
  <si>
    <t>‘&gt;PP&gt;</t>
  </si>
  <si>
    <t>y17</t>
  </si>
  <si>
    <t>hhs1</t>
  </si>
  <si>
    <t>2bbSup</t>
  </si>
  <si>
    <t>j26</t>
  </si>
  <si>
    <t>j27</t>
  </si>
  <si>
    <t>StH~StH</t>
  </si>
  <si>
    <t>Ln</t>
  </si>
  <si>
    <t>2Ln</t>
  </si>
  <si>
    <t>Ln!</t>
  </si>
  <si>
    <t>2Ln!</t>
  </si>
  <si>
    <t>dt1</t>
  </si>
  <si>
    <t>s1,5t0,5</t>
  </si>
  <si>
    <t>s1,5t1</t>
  </si>
  <si>
    <t>2SupH(2)</t>
  </si>
  <si>
    <t>StH’’’’</t>
  </si>
  <si>
    <t>ig</t>
  </si>
  <si>
    <t>r1,5*</t>
  </si>
  <si>
    <t>R0,5*</t>
  </si>
  <si>
    <t>L!»</t>
  </si>
  <si>
    <t>Lf»</t>
  </si>
  <si>
    <t>L!f»</t>
  </si>
  <si>
    <t>L!r1»</t>
  </si>
  <si>
    <t>W!»</t>
  </si>
  <si>
    <t>W!d</t>
  </si>
  <si>
    <t>Women Solo Free / 12 and under</t>
  </si>
  <si>
    <t>Women Duet Free / 12 and under</t>
  </si>
  <si>
    <t>Open Team Free / 12 and under</t>
  </si>
  <si>
    <t>Open Free Combination / 12 and under</t>
  </si>
  <si>
    <t>Women Solo Technical / Seniors 15 -&gt;</t>
  </si>
  <si>
    <t>Women Solo Free / Seniors 15 -&gt;</t>
  </si>
  <si>
    <t>Women Duet Technical / Seniors 15 -&gt;</t>
  </si>
  <si>
    <t>Women Duet Free / Seniors 15 -&gt;</t>
  </si>
  <si>
    <t>Open Team Technical / Seniors 15 -&gt;</t>
  </si>
  <si>
    <t>Open Team Free / Seniors 15 -&gt;</t>
  </si>
  <si>
    <t>Open Team Acrobatic / Seniors 15 -&gt;</t>
  </si>
  <si>
    <t>Women Solo Technical</t>
  </si>
  <si>
    <t>Women Solo Free</t>
  </si>
  <si>
    <t>Women Duet Technical</t>
  </si>
  <si>
    <t>Women Duet Free</t>
  </si>
  <si>
    <t>Open Team Technical</t>
  </si>
  <si>
    <t>Open Team Free</t>
  </si>
  <si>
    <t>Open Free Combination</t>
  </si>
  <si>
    <t>Open Team Acrobatic</t>
  </si>
  <si>
    <t>Youth 13-15 (F) / 13-16 (M)</t>
  </si>
  <si>
    <t>Junior 15-19 (F) / 15-20 (M)</t>
  </si>
  <si>
    <t>Women Solo Free / Youth 13-15 (F) / 13-16 (M)</t>
  </si>
  <si>
    <t>Male Solo Free / Youth 13-15 (F) / 13-16 (M)</t>
  </si>
  <si>
    <t>Women Duet Free / Youth 13-15 (F) / 13-16 (M)</t>
  </si>
  <si>
    <t>Mixed Duet Free / Youth 13-15 (F) / 13-16 (M)</t>
  </si>
  <si>
    <t>Open Team Free / Youth 13-15 (F) / 13-16 (M)</t>
  </si>
  <si>
    <t>Open Free Combination / Youth 13-15 (F) / 13-16 (M)</t>
  </si>
  <si>
    <t>Women Solo Technical / Junior 15-19 (F) / 15-20 (M)</t>
  </si>
  <si>
    <t>Women Solo Free / Junior 15-19 (F) / 15-20 (M)</t>
  </si>
  <si>
    <t>Male Solo Technical / Junior 15-19 (F) / 15-20 (M)</t>
  </si>
  <si>
    <t>Male Solo Free / Junior 15-19 (F) / 15-20 (M)</t>
  </si>
  <si>
    <t>Women Duet Technical / Junior 15-19 (F) / 15-20 (M)</t>
  </si>
  <si>
    <t>Women Duet Free / Junior 15-19 (F) / 15-20 (M)</t>
  </si>
  <si>
    <t>Mixed Duet Technical / Junior 15-19 (F) / 15-20 (M)</t>
  </si>
  <si>
    <t>Mixed Duet Free / Junior 15-19 (F) / 15-20 (M)</t>
  </si>
  <si>
    <t>Open Team Technical / Junior 15-19 (F) / 15-20 (M)</t>
  </si>
  <si>
    <t>Open Team Free / Junior 15-19 (F) / 15-20 (M)</t>
  </si>
  <si>
    <t>Open Team Acrobatic / Junior 15-19 (F) / 15-20 (M)</t>
  </si>
  <si>
    <t>Version history:</t>
  </si>
  <si>
    <t>v 3.8</t>
  </si>
  <si>
    <t>Red marking now on difficulty code if manually written code is not in WAQ-list. Adaption to new rules from WAQ: New names on events. Specification on ages (m/f) on age groups. Wrong number of elements on Youth Mixed Duet.</t>
  </si>
  <si>
    <t>Open Free Combination / Junior 15-19 (F) / 15-20 (M)</t>
  </si>
  <si>
    <t>Open Free Combination / Seniors 15 -&gt;</t>
  </si>
  <si>
    <t>v 3.9</t>
  </si>
  <si>
    <t>v 4.0</t>
  </si>
  <si>
    <t>Session boxes did not get marking with X in the Print-sheet.</t>
  </si>
  <si>
    <t>Time start/end did mot work on the last rows in the generator above. Now also flashing red if chosen DD does not give you any value (=wrong DD code)</t>
  </si>
  <si>
    <t>v 4.1</t>
  </si>
  <si>
    <t>The green copy row didn't give 0.1 in BM on AcroPar from v 3.8. This was though corrected in the scoring program, but now also correct in CC.</t>
  </si>
  <si>
    <t>t3</t>
  </si>
  <si>
    <t>Start number:</t>
  </si>
  <si>
    <t>v 5.0</t>
  </si>
  <si>
    <t>Adaptation to new WAQ-rules regarding apnea and multiple R5-9 or T5-9. Also some design changes on the Print-sheet.</t>
  </si>
  <si>
    <t>v 5.1</t>
  </si>
  <si>
    <t>Change of colour to orange with multiple R5-9 or T5-9. Also changing other errors to red background and black text (more visable).</t>
  </si>
  <si>
    <t>v 5.2</t>
  </si>
  <si>
    <t>Bug fix - When expanding the DD input area with 2 columns, I made a mistake on the gree copy field. Now corrected.</t>
  </si>
  <si>
    <t>Coaches instructions</t>
  </si>
  <si>
    <t>v 5.3</t>
  </si>
  <si>
    <t>Possibility to disengage the apnea warning + the R5/T5+ warnings. Bug fix on some warning as well. Some missing acro codes are inserted (+ln)</t>
  </si>
  <si>
    <t>v 5.4</t>
  </si>
  <si>
    <t>Js1B+f</t>
  </si>
  <si>
    <t>Js1B+pf</t>
  </si>
  <si>
    <t>2Sup*</t>
  </si>
  <si>
    <t>ThrH&gt;Lh</t>
  </si>
  <si>
    <t>y18</t>
  </si>
  <si>
    <t>y19</t>
  </si>
  <si>
    <t>y20</t>
  </si>
  <si>
    <t>y21</t>
  </si>
  <si>
    <t>s1,5t1,5</t>
  </si>
  <si>
    <t>St&gt;sq</t>
  </si>
  <si>
    <t>fg</t>
  </si>
  <si>
    <t>j28</t>
  </si>
  <si>
    <t>St+ThrH(2)</t>
  </si>
  <si>
    <t>j29</t>
  </si>
  <si>
    <t>s1t3</t>
  </si>
  <si>
    <t>ThrH↷StH</t>
  </si>
  <si>
    <t>r2!</t>
  </si>
  <si>
    <t>1P1P</t>
  </si>
  <si>
    <t>r0,5!1</t>
  </si>
  <si>
    <t>St&gt;F1</t>
  </si>
  <si>
    <t>St&gt;F1+P1</t>
  </si>
  <si>
    <t>ps+</t>
  </si>
  <si>
    <t>psl+</t>
  </si>
  <si>
    <t>ki+</t>
  </si>
  <si>
    <t>tk+</t>
  </si>
  <si>
    <t>pa+</t>
  </si>
  <si>
    <t>nj+</t>
  </si>
  <si>
    <t>pk+</t>
  </si>
  <si>
    <t>mn+</t>
  </si>
  <si>
    <t>Ln+</t>
  </si>
  <si>
    <t>Ln!+</t>
  </si>
  <si>
    <t>sp+</t>
  </si>
  <si>
    <t>ar+</t>
  </si>
  <si>
    <t>kt+</t>
  </si>
  <si>
    <t>ma+</t>
  </si>
  <si>
    <t>ja+</t>
  </si>
  <si>
    <t>rg+</t>
  </si>
  <si>
    <t>ld+</t>
  </si>
  <si>
    <t>he+</t>
  </si>
  <si>
    <t>cr+</t>
  </si>
  <si>
    <t>kr+</t>
  </si>
  <si>
    <t>vs+</t>
  </si>
  <si>
    <t>sw+</t>
  </si>
  <si>
    <t>gl+</t>
  </si>
  <si>
    <t>ba+</t>
  </si>
  <si>
    <t>ea+</t>
  </si>
  <si>
    <t>sa+</t>
  </si>
  <si>
    <t>ne+</t>
  </si>
  <si>
    <t>ey+</t>
  </si>
  <si>
    <t>ln+</t>
  </si>
  <si>
    <t>do+</t>
  </si>
  <si>
    <t>si+</t>
  </si>
  <si>
    <t>mo+</t>
  </si>
  <si>
    <t>sh+</t>
  </si>
  <si>
    <t>spl+</t>
  </si>
  <si>
    <t>pe+</t>
  </si>
  <si>
    <t>cd+</t>
  </si>
  <si>
    <t>sc+</t>
  </si>
  <si>
    <t>pt+</t>
  </si>
  <si>
    <t>co+</t>
  </si>
  <si>
    <t>mr+</t>
  </si>
  <si>
    <t>sb+</t>
  </si>
  <si>
    <t>bi+</t>
  </si>
  <si>
    <t>fl+</t>
  </si>
  <si>
    <t>so+</t>
  </si>
  <si>
    <t>tu+</t>
  </si>
  <si>
    <t>se+</t>
  </si>
  <si>
    <t>pi+</t>
  </si>
  <si>
    <t>ro+</t>
  </si>
  <si>
    <t>lp+</t>
  </si>
  <si>
    <t>bo+</t>
  </si>
  <si>
    <t>bb+</t>
  </si>
  <si>
    <t>ig+</t>
  </si>
  <si>
    <t>kn+</t>
  </si>
  <si>
    <t>wi+</t>
  </si>
  <si>
    <t>be+</t>
  </si>
  <si>
    <t>to+</t>
  </si>
  <si>
    <t>ow+</t>
  </si>
  <si>
    <t>br+</t>
  </si>
  <si>
    <t>dr+</t>
  </si>
  <si>
    <t>qu+</t>
  </si>
  <si>
    <t>New approved DD values inserted. Now possible to insert + in AcroC when 2 different featured swimmers make 2 positions.</t>
  </si>
  <si>
    <t xml:space="preserve">     &gt;   If "Federation", choose federation name</t>
  </si>
  <si>
    <t>Türkiye - TUR</t>
  </si>
  <si>
    <t>Türkiye</t>
  </si>
  <si>
    <t>&gt;   Choose if this CC is for preliminaries, otherwise finals will be default</t>
  </si>
  <si>
    <r>
      <t xml:space="preserve">&gt;   If you also use my calculation program for scores, scroll down on the "Coach Card" sheet and copy the </t>
    </r>
    <r>
      <rPr>
        <b/>
        <sz val="11"/>
        <color theme="9"/>
        <rFont val="Calibri"/>
        <family val="2"/>
        <scheme val="minor"/>
      </rPr>
      <t>green area</t>
    </r>
    <r>
      <rPr>
        <sz val="11"/>
        <color theme="1"/>
        <rFont val="Calibri"/>
        <family val="2"/>
        <scheme val="minor"/>
      </rPr>
      <t>.</t>
    </r>
  </si>
  <si>
    <t>GROUP A</t>
  </si>
  <si>
    <t>GROUP B</t>
  </si>
  <si>
    <t>GROUP C</t>
  </si>
  <si>
    <t>GROUP P</t>
  </si>
  <si>
    <t>Code</t>
  </si>
  <si>
    <t>DD</t>
  </si>
  <si>
    <t>Thr&gt;St</t>
  </si>
  <si>
    <t>2SupU</t>
  </si>
  <si>
    <t>2SupD</t>
  </si>
  <si>
    <t>2SupM</t>
  </si>
  <si>
    <t>2S</t>
  </si>
  <si>
    <t>2SupD2F</t>
  </si>
  <si>
    <t>Flower</t>
  </si>
  <si>
    <t>L2F+</t>
  </si>
  <si>
    <t>St&gt;</t>
  </si>
  <si>
    <t>Lh2F</t>
  </si>
  <si>
    <t>Thr&gt;head&gt;</t>
  </si>
  <si>
    <t>2Sup+</t>
  </si>
  <si>
    <t>Thr&gt;Sq</t>
  </si>
  <si>
    <t>Thr&gt;St2</t>
  </si>
  <si>
    <t>N/A</t>
  </si>
  <si>
    <t>FAb</t>
  </si>
  <si>
    <t>1FA</t>
  </si>
  <si>
    <t>3pK</t>
  </si>
  <si>
    <t>SiF+Pb</t>
  </si>
  <si>
    <t>ShF+P</t>
  </si>
  <si>
    <t>LiH</t>
  </si>
  <si>
    <t>4p</t>
  </si>
  <si>
    <t>1FH+1FP</t>
  </si>
  <si>
    <t>S+</t>
  </si>
  <si>
    <t>FF/</t>
  </si>
  <si>
    <t>Variation</t>
  </si>
  <si>
    <t>sd</t>
  </si>
  <si>
    <t>hp</t>
  </si>
  <si>
    <t>2sd</t>
  </si>
  <si>
    <t>2hp</t>
  </si>
  <si>
    <t>r0.5</t>
  </si>
  <si>
    <t>Cr0.5</t>
  </si>
  <si>
    <t>Pr</t>
  </si>
  <si>
    <t>Cr1</t>
  </si>
  <si>
    <t>Pr0.5</t>
  </si>
  <si>
    <t>r1.5</t>
  </si>
  <si>
    <t>Cr1.5</t>
  </si>
  <si>
    <t>Pr1</t>
  </si>
  <si>
    <t>r0.5+</t>
  </si>
  <si>
    <t>Cr0.5!</t>
  </si>
  <si>
    <t>r1+</t>
  </si>
  <si>
    <t>Cr1!</t>
  </si>
  <si>
    <t>P0.5h</t>
  </si>
  <si>
    <t>r1.5+</t>
  </si>
  <si>
    <t>Cr1.5!</t>
  </si>
  <si>
    <t>P1h</t>
  </si>
  <si>
    <t>r0.5!</t>
  </si>
  <si>
    <t>CP0.5</t>
  </si>
  <si>
    <t>r1.5!</t>
  </si>
  <si>
    <t>r0.5L</t>
  </si>
  <si>
    <t>r0,5/</t>
  </si>
  <si>
    <t>r1/</t>
  </si>
  <si>
    <t>r1.5/</t>
  </si>
  <si>
    <t>Ct0.5</t>
  </si>
  <si>
    <t>dt0.5</t>
  </si>
  <si>
    <t>Ct1</t>
  </si>
  <si>
    <t>Ct1.5</t>
  </si>
  <si>
    <t>dt1.5</t>
  </si>
  <si>
    <t>Ct2</t>
  </si>
  <si>
    <t>Ct2.5</t>
  </si>
  <si>
    <t>s1f</t>
  </si>
  <si>
    <t>Ct3</t>
  </si>
  <si>
    <t>ss1</t>
  </si>
  <si>
    <t>ss1f</t>
  </si>
  <si>
    <t>Cdt0.5</t>
  </si>
  <si>
    <t>s1.5</t>
  </si>
  <si>
    <t>Cdt1</t>
  </si>
  <si>
    <t>s1.5f</t>
  </si>
  <si>
    <t>Cdt1.5</t>
  </si>
  <si>
    <t>s1.5o</t>
  </si>
  <si>
    <t>Cs1</t>
  </si>
  <si>
    <t>s1.5fo</t>
  </si>
  <si>
    <t>Css1</t>
  </si>
  <si>
    <t>Cs1.5</t>
  </si>
  <si>
    <t>s2o</t>
  </si>
  <si>
    <t>Cs1.5o</t>
  </si>
  <si>
    <t>s2f</t>
  </si>
  <si>
    <t>Cf1</t>
  </si>
  <si>
    <t>s2fo</t>
  </si>
  <si>
    <t>Cf1.5</t>
  </si>
  <si>
    <t>s2.5</t>
  </si>
  <si>
    <t>s2.5f</t>
  </si>
  <si>
    <t>Cc</t>
  </si>
  <si>
    <t>Cct0.5</t>
  </si>
  <si>
    <t>Cct1</t>
  </si>
  <si>
    <t>f1.5</t>
  </si>
  <si>
    <t>Cht0.5</t>
  </si>
  <si>
    <t>Cht1</t>
  </si>
  <si>
    <t>ct0.5</t>
  </si>
  <si>
    <t>ct1</t>
  </si>
  <si>
    <t>ht0.5</t>
  </si>
  <si>
    <t>ht1</t>
  </si>
  <si>
    <t>Cs1t1</t>
  </si>
  <si>
    <t>hs1</t>
  </si>
  <si>
    <t>Cs1t1.5</t>
  </si>
  <si>
    <t>Cs1t2</t>
  </si>
  <si>
    <t>Css1t0.5</t>
  </si>
  <si>
    <t>Css1t1</t>
  </si>
  <si>
    <t>Css1t1.5</t>
  </si>
  <si>
    <t>s1t0.5</t>
  </si>
  <si>
    <t>Css1t2</t>
  </si>
  <si>
    <t>s1t0.5f</t>
  </si>
  <si>
    <t>s1t1.5</t>
  </si>
  <si>
    <t>s1.5t0.5</t>
  </si>
  <si>
    <t>s1.5t0.5o</t>
  </si>
  <si>
    <t>s1.5t1</t>
  </si>
  <si>
    <t>s1.5t1.5</t>
  </si>
  <si>
    <t>s2t0.5</t>
  </si>
  <si>
    <t>s2t0.5o</t>
  </si>
  <si>
    <t>ss1t0.5</t>
  </si>
  <si>
    <t>ss1t1</t>
  </si>
  <si>
    <t>ss1t1.5</t>
  </si>
  <si>
    <t>ss1t2</t>
  </si>
  <si>
    <t>ss1t2.5</t>
  </si>
  <si>
    <t>ss1t3</t>
  </si>
  <si>
    <t>t0.5</t>
  </si>
  <si>
    <t>t1.5</t>
  </si>
  <si>
    <t>t2.5</t>
  </si>
  <si>
    <t>Dbl</t>
  </si>
  <si>
    <t>Jump</t>
  </si>
  <si>
    <t>Grip</t>
  </si>
  <si>
    <t>Jump&gt;</t>
  </si>
  <si>
    <t>UP</t>
  </si>
  <si>
    <t>Catch</t>
  </si>
  <si>
    <t>Hold</t>
  </si>
  <si>
    <t>Slip</t>
  </si>
  <si>
    <t>Split</t>
  </si>
  <si>
    <t>Moon</t>
  </si>
  <si>
    <t>Run</t>
  </si>
  <si>
    <t>Wave</t>
  </si>
  <si>
    <t>Twirl</t>
  </si>
  <si>
    <t>Mov</t>
  </si>
  <si>
    <t>Trav</t>
  </si>
  <si>
    <t>Turn</t>
  </si>
  <si>
    <t>Stand</t>
  </si>
  <si>
    <t>On1Foot</t>
  </si>
  <si>
    <t>Ps1</t>
  </si>
  <si>
    <t>Spider</t>
  </si>
  <si>
    <t>Climb</t>
  </si>
  <si>
    <t>Fall</t>
  </si>
  <si>
    <t>Component and group</t>
  </si>
  <si>
    <t>Applicable</t>
  </si>
  <si>
    <t>Minimal</t>
  </si>
  <si>
    <t>Requirement</t>
  </si>
  <si>
    <t>Pair Acro</t>
  </si>
  <si>
    <t>Hybrid - Free</t>
  </si>
  <si>
    <t>Acrobatic - Pair</t>
  </si>
  <si>
    <t>Transition - Surface Connection</t>
  </si>
  <si>
    <t>Hybrid - All Team swimmers</t>
  </si>
  <si>
    <t>S/D/M/T</t>
  </si>
  <si>
    <t>Hybrid - Thrust + 2 connections</t>
  </si>
  <si>
    <t>H.Team 4</t>
  </si>
  <si>
    <t>Team hyb All</t>
  </si>
  <si>
    <t>Team hyb 4</t>
  </si>
  <si>
    <t>Base Mark
or
No DD</t>
  </si>
  <si>
    <t>Base mark</t>
  </si>
  <si>
    <t>H</t>
  </si>
  <si>
    <t>PA</t>
  </si>
  <si>
    <t>A</t>
  </si>
  <si>
    <t>TB</t>
  </si>
  <si>
    <t>SB</t>
  </si>
  <si>
    <t>SCB</t>
  </si>
  <si>
    <t>SCDB</t>
  </si>
  <si>
    <t>S1</t>
  </si>
  <si>
    <t>SC1</t>
  </si>
  <si>
    <t>SCD1</t>
  </si>
  <si>
    <t>S2</t>
  </si>
  <si>
    <t>SC2</t>
  </si>
  <si>
    <t>SCD2</t>
  </si>
  <si>
    <t>S3</t>
  </si>
  <si>
    <t>SC3</t>
  </si>
  <si>
    <t>SCD3</t>
  </si>
  <si>
    <t>S4</t>
  </si>
  <si>
    <t>SC4</t>
  </si>
  <si>
    <t>SCD4</t>
  </si>
  <si>
    <t>S5</t>
  </si>
  <si>
    <t>SC5</t>
  </si>
  <si>
    <t>SCD5</t>
  </si>
  <si>
    <t>S6</t>
  </si>
  <si>
    <t>SC6</t>
  </si>
  <si>
    <t>SCD6</t>
  </si>
  <si>
    <t>S7</t>
  </si>
  <si>
    <t>S8</t>
  </si>
  <si>
    <t>S9</t>
  </si>
  <si>
    <t>S10</t>
  </si>
  <si>
    <t>RB</t>
  </si>
  <si>
    <t>1RB</t>
  </si>
  <si>
    <t>2RB</t>
  </si>
  <si>
    <t>1R1</t>
  </si>
  <si>
    <t>2R1</t>
  </si>
  <si>
    <t>RD1</t>
  </si>
  <si>
    <t>RU1</t>
  </si>
  <si>
    <t>RO1</t>
  </si>
  <si>
    <t>RC1</t>
  </si>
  <si>
    <t>1R2</t>
  </si>
  <si>
    <t>2R2</t>
  </si>
  <si>
    <t>RD2</t>
  </si>
  <si>
    <t>RU2</t>
  </si>
  <si>
    <t>1R3</t>
  </si>
  <si>
    <t>2R3</t>
  </si>
  <si>
    <t>RU3</t>
  </si>
  <si>
    <t>1R4</t>
  </si>
  <si>
    <t>2R4</t>
  </si>
  <si>
    <t>RD4</t>
  </si>
  <si>
    <t>RU4</t>
  </si>
  <si>
    <t>1R5</t>
  </si>
  <si>
    <t>2R5</t>
  </si>
  <si>
    <t>RU5</t>
  </si>
  <si>
    <t>1R6</t>
  </si>
  <si>
    <t>2R6</t>
  </si>
  <si>
    <t>RD6</t>
  </si>
  <si>
    <t>RU6</t>
  </si>
  <si>
    <t>2R7</t>
  </si>
  <si>
    <t>RU7</t>
  </si>
  <si>
    <t>2R8</t>
  </si>
  <si>
    <t>RU8</t>
  </si>
  <si>
    <t>2R9</t>
  </si>
  <si>
    <t>RU9</t>
  </si>
  <si>
    <t>2R10</t>
  </si>
  <si>
    <t>RU10</t>
  </si>
  <si>
    <t>AB</t>
  </si>
  <si>
    <t>A5</t>
  </si>
  <si>
    <t>A6</t>
  </si>
  <si>
    <t>A7</t>
  </si>
  <si>
    <t>A8</t>
  </si>
  <si>
    <t>FB</t>
  </si>
  <si>
    <t>F7</t>
  </si>
  <si>
    <t>F9</t>
  </si>
  <si>
    <t>F10</t>
  </si>
  <si>
    <t>CB</t>
  </si>
  <si>
    <t>CB+</t>
  </si>
  <si>
    <t>C7</t>
  </si>
  <si>
    <t>C7+</t>
  </si>
  <si>
    <t>Drop down formulas for each DD-cell</t>
  </si>
  <si>
    <t>Cons_</t>
  </si>
  <si>
    <t>Conx_</t>
  </si>
  <si>
    <t>Dirx_</t>
  </si>
  <si>
    <t>Pos1_</t>
  </si>
  <si>
    <t>Pos2_</t>
  </si>
  <si>
    <t>RotB_</t>
  </si>
  <si>
    <t>RotP_</t>
  </si>
  <si>
    <t>AcroBonus_</t>
  </si>
  <si>
    <t>No</t>
  </si>
  <si>
    <t>Acro check</t>
  </si>
  <si>
    <t>Cons</t>
  </si>
  <si>
    <t>Conx</t>
  </si>
  <si>
    <t>Dirx</t>
  </si>
  <si>
    <t>Pos1</t>
  </si>
  <si>
    <t>Pos2</t>
  </si>
  <si>
    <t>RotB</t>
  </si>
  <si>
    <t>RotP</t>
  </si>
  <si>
    <t>Bon1</t>
  </si>
  <si>
    <t>Bon2</t>
  </si>
  <si>
    <t>Pos1&lt;&gt;Pos2</t>
  </si>
  <si>
    <t>No choise for this Acro type</t>
  </si>
  <si>
    <t>Yes</t>
  </si>
  <si>
    <t>AcroBonus_A_Code</t>
  </si>
  <si>
    <t>AcroBonus_B_Code</t>
  </si>
  <si>
    <t>AcroBonus_C_Code</t>
  </si>
  <si>
    <t>AcroBonus_P_Code</t>
  </si>
  <si>
    <t>Cons_A_Code</t>
  </si>
  <si>
    <t>Cons_B_Code</t>
  </si>
  <si>
    <t>Cons_C_Code</t>
  </si>
  <si>
    <t>Cons_P_Code</t>
  </si>
  <si>
    <t>Dirx_A_Code</t>
  </si>
  <si>
    <t>Dirx_B_Code</t>
  </si>
  <si>
    <t>Dirx_C_Code</t>
  </si>
  <si>
    <t>Dirx_P_Code</t>
  </si>
  <si>
    <t>Pos1_A_Code</t>
  </si>
  <si>
    <t>Pos1_B_Code</t>
  </si>
  <si>
    <t>Pos1_C_Code</t>
  </si>
  <si>
    <t>Pos1_P_Code</t>
  </si>
  <si>
    <t>Pos2_A_Code</t>
  </si>
  <si>
    <t>Pos2_B_Code</t>
  </si>
  <si>
    <t>Pos2_C_Code</t>
  </si>
  <si>
    <t>Pos2_P_Code</t>
  </si>
  <si>
    <t>RotP_A_Code</t>
  </si>
  <si>
    <t>RotP_B_Code</t>
  </si>
  <si>
    <t>RotP_C_Code</t>
  </si>
  <si>
    <t>RotP_P_Code</t>
  </si>
  <si>
    <t>RotB_A_Code</t>
  </si>
  <si>
    <t>RotB_B_Code</t>
  </si>
  <si>
    <t>RotB_C_Code</t>
  </si>
  <si>
    <t>RotB_P_Code</t>
  </si>
  <si>
    <t>Conx_A_Code</t>
  </si>
  <si>
    <t>Conx_B_Code</t>
  </si>
  <si>
    <t>Conx_C_Code</t>
  </si>
  <si>
    <t>Conx_P_Code</t>
  </si>
  <si>
    <t>Conn</t>
  </si>
  <si>
    <t>Minimum Declaration Requirements</t>
  </si>
  <si>
    <t>Bonus?</t>
  </si>
  <si>
    <t>Hybrid check</t>
  </si>
  <si>
    <t>T</t>
  </si>
  <si>
    <t>S</t>
  </si>
  <si>
    <t>R</t>
  </si>
  <si>
    <t>Solo?</t>
  </si>
  <si>
    <t>v 6.0</t>
  </si>
  <si>
    <t>Adjusted according to new rules. Apnea removed.</t>
  </si>
  <si>
    <t>Pair
Acro</t>
  </si>
  <si>
    <t>Check</t>
  </si>
  <si>
    <t>Cadence.hyb</t>
  </si>
  <si>
    <t>Hybrid - Cadence</t>
  </si>
  <si>
    <t>H.Cadence</t>
  </si>
  <si>
    <t>Yo</t>
  </si>
  <si>
    <t>Active</t>
  </si>
  <si>
    <t>T2a</t>
  </si>
  <si>
    <t>T2b</t>
  </si>
  <si>
    <t>T3a</t>
  </si>
  <si>
    <t>T3b</t>
  </si>
  <si>
    <t>T3c</t>
  </si>
  <si>
    <t>T3d</t>
  </si>
  <si>
    <t>T4a</t>
  </si>
  <si>
    <t>T4b</t>
  </si>
  <si>
    <t>T4c</t>
  </si>
  <si>
    <t>T4d</t>
  </si>
  <si>
    <t>T5a</t>
  </si>
  <si>
    <t>T5b</t>
  </si>
  <si>
    <t>T5c</t>
  </si>
  <si>
    <t>T5d</t>
  </si>
  <si>
    <t>T5e</t>
  </si>
  <si>
    <t>T6a</t>
  </si>
  <si>
    <t>T6b</t>
  </si>
  <si>
    <t>T6c</t>
  </si>
  <si>
    <t>T9a</t>
  </si>
  <si>
    <t>T9b</t>
  </si>
  <si>
    <t>ROB</t>
  </si>
  <si>
    <t>RCB</t>
  </si>
  <si>
    <t>A1a</t>
  </si>
  <si>
    <t>A1b</t>
  </si>
  <si>
    <t>A1c</t>
  </si>
  <si>
    <t>A1d</t>
  </si>
  <si>
    <t>A2a</t>
  </si>
  <si>
    <t>A2b</t>
  </si>
  <si>
    <t>A3a</t>
  </si>
  <si>
    <t>A3b</t>
  </si>
  <si>
    <t>A4a</t>
  </si>
  <si>
    <t>A4b</t>
  </si>
  <si>
    <t>F1a</t>
  </si>
  <si>
    <t>F1b</t>
  </si>
  <si>
    <t>F1c</t>
  </si>
  <si>
    <t>F2a</t>
  </si>
  <si>
    <t>F2b</t>
  </si>
  <si>
    <t>F2c</t>
  </si>
  <si>
    <t>F3a</t>
  </si>
  <si>
    <t>F3b</t>
  </si>
  <si>
    <t>F3c</t>
  </si>
  <si>
    <t>F4a</t>
  </si>
  <si>
    <t>F4b</t>
  </si>
  <si>
    <t>F4c</t>
  </si>
  <si>
    <t>F4d</t>
  </si>
  <si>
    <t>F4e</t>
  </si>
  <si>
    <t>F4f</t>
  </si>
  <si>
    <t>F5a</t>
  </si>
  <si>
    <t>F5b</t>
  </si>
  <si>
    <t>F5c</t>
  </si>
  <si>
    <t>F6a</t>
  </si>
  <si>
    <t>F6b</t>
  </si>
  <si>
    <t>F6c</t>
  </si>
  <si>
    <t>F6d</t>
  </si>
  <si>
    <t>F8a</t>
  </si>
  <si>
    <t>F8b</t>
  </si>
  <si>
    <t>C1a</t>
  </si>
  <si>
    <t>C1b</t>
  </si>
  <si>
    <t>C1a+</t>
  </si>
  <si>
    <t>C1b+</t>
  </si>
  <si>
    <t>C2a</t>
  </si>
  <si>
    <t>C2b</t>
  </si>
  <si>
    <t>C2c</t>
  </si>
  <si>
    <t>C2a+</t>
  </si>
  <si>
    <t>C2b+</t>
  </si>
  <si>
    <t>C2c+</t>
  </si>
  <si>
    <t>C6a</t>
  </si>
  <si>
    <t>C6b</t>
  </si>
  <si>
    <t>C6a+</t>
  </si>
  <si>
    <t>C6b+</t>
  </si>
  <si>
    <t>Family</t>
  </si>
  <si>
    <t>&gt;3</t>
  </si>
  <si>
    <t>Hybrid
Teqnique</t>
  </si>
  <si>
    <t>Hybrid
Family</t>
  </si>
  <si>
    <t>Acro?</t>
  </si>
  <si>
    <t>T4e</t>
  </si>
  <si>
    <t>dt2</t>
  </si>
  <si>
    <t>hd</t>
  </si>
  <si>
    <t>s1t1f</t>
  </si>
  <si>
    <t>s1.5t0.5f</t>
  </si>
  <si>
    <t>s1.5t0.5fo</t>
  </si>
  <si>
    <t>s2t0.5f</t>
  </si>
  <si>
    <t>s2t0.5fo</t>
  </si>
  <si>
    <t>s2t1o</t>
  </si>
  <si>
    <t>s2t1fo</t>
  </si>
  <si>
    <t>ss1t0.5f</t>
  </si>
  <si>
    <t>ss1t1f</t>
  </si>
  <si>
    <t>Pos3</t>
  </si>
  <si>
    <t>Hula</t>
  </si>
  <si>
    <t>RetSq</t>
  </si>
  <si>
    <t>RetPa</t>
  </si>
  <si>
    <t>Bonus
check</t>
  </si>
  <si>
    <t>LH</t>
  </si>
  <si>
    <t>Tow</t>
  </si>
  <si>
    <t>1F1P</t>
  </si>
  <si>
    <t>1F1F</t>
  </si>
  <si>
    <t>r2+</t>
  </si>
  <si>
    <t>RotF</t>
  </si>
  <si>
    <t>SdUp</t>
  </si>
  <si>
    <t>L/SiF+P</t>
  </si>
  <si>
    <t>&gt;F1P</t>
  </si>
  <si>
    <t>2b/</t>
  </si>
  <si>
    <t>CH</t>
  </si>
  <si>
    <t>Porp</t>
  </si>
  <si>
    <t>Spich</t>
  </si>
  <si>
    <t>Dive</t>
  </si>
  <si>
    <t>Ps1t0.5</t>
  </si>
  <si>
    <t>Ps1t1</t>
  </si>
  <si>
    <t>FTurn</t>
  </si>
  <si>
    <t>Arch</t>
  </si>
  <si>
    <t>Thr&gt;FF</t>
  </si>
  <si>
    <t>Thr&gt;F</t>
  </si>
  <si>
    <t>Thr^Lh</t>
  </si>
  <si>
    <t>Thr^2F</t>
  </si>
  <si>
    <t>Thr+Thr</t>
  </si>
  <si>
    <t>Bln</t>
  </si>
  <si>
    <t>Cr0.5L</t>
  </si>
  <si>
    <t>2F0.5</t>
  </si>
  <si>
    <t>2F1</t>
  </si>
  <si>
    <t>Cd</t>
  </si>
  <si>
    <t>Cs1t1o</t>
  </si>
  <si>
    <t>Cs1t1.5o</t>
  </si>
  <si>
    <t>Cs1t2o</t>
  </si>
  <si>
    <t>1F&gt;1F</t>
  </si>
  <si>
    <t>Cx</t>
  </si>
  <si>
    <t>C-Roll</t>
  </si>
  <si>
    <t>L!r0.5»</t>
  </si>
  <si>
    <t>L!fr0.5»</t>
  </si>
  <si>
    <t>Lr0.5</t>
  </si>
  <si>
    <t>L!r0.5</t>
  </si>
  <si>
    <t>Lfr0.5</t>
  </si>
  <si>
    <t>L!fr0.5</t>
  </si>
  <si>
    <t>Jr0.5</t>
  </si>
  <si>
    <t>W!r0.5</t>
  </si>
  <si>
    <t>W!s0.5</t>
  </si>
  <si>
    <t>W!fr0.5</t>
  </si>
  <si>
    <t>Js0.5t0.5</t>
  </si>
  <si>
    <t>W!s0.5t0.5</t>
  </si>
  <si>
    <t>JBs1t0.5</t>
  </si>
  <si>
    <t>Amount Hybrid families</t>
  </si>
  <si>
    <t>All families present?</t>
  </si>
  <si>
    <t>To many?</t>
  </si>
  <si>
    <t>Dir</t>
  </si>
  <si>
    <t>Bonus1</t>
  </si>
  <si>
    <t>Bonus2</t>
  </si>
  <si>
    <t>Correct
part?</t>
  </si>
  <si>
    <t>TRE-1</t>
  </si>
  <si>
    <t>TRE-2</t>
  </si>
  <si>
    <t>TRE-3</t>
  </si>
  <si>
    <t>TRE-4</t>
  </si>
  <si>
    <t>TRE-5</t>
  </si>
  <si>
    <t>&gt;5 (&gt;1)</t>
  </si>
  <si>
    <t>Team Acro repeats</t>
  </si>
  <si>
    <t>Group A</t>
  </si>
  <si>
    <t>Group B</t>
  </si>
  <si>
    <t>Group C</t>
  </si>
  <si>
    <t>Group P</t>
  </si>
  <si>
    <t>(Pos2)</t>
  </si>
  <si>
    <t>(Pos1)</t>
  </si>
  <si>
    <t xml:space="preserve"> (Green) = A value has to be inserted</t>
  </si>
  <si>
    <t xml:space="preserve"> (Gray) = No entry in this cell</t>
  </si>
  <si>
    <t>12y/Youth safety limits (Team/Combo)</t>
  </si>
  <si>
    <t>&gt;   Write the name of the Theme for this participant (mandatory for Free Combination!)</t>
  </si>
  <si>
    <t>You will now be able to see how many elements the CC have to have according to WA-rules.</t>
  </si>
  <si>
    <t xml:space="preserve">     &gt; If red - The time limit for the program is incorrect acording to WA-rules.</t>
  </si>
  <si>
    <t xml:space="preserve">     &gt; If red - Conflict with WA-rules</t>
  </si>
  <si>
    <t>&gt;   Choose what kind of performance the swimmer will do at this particulary time period.</t>
  </si>
  <si>
    <t>&gt;   Declare what DD(s) this element includes. Only one code per cell. By writing or drop-list.</t>
  </si>
  <si>
    <t xml:space="preserve">     &gt; If red background - Possible conflict with WA-rules. But this is only a warning. You decide if you want to keep it this way. </t>
  </si>
  <si>
    <t xml:space="preserve">     &gt; Acro bonus will be written together with declared difficulties on the print-out. This is correct according to WA-recommendations</t>
  </si>
  <si>
    <t xml:space="preserve">     &gt; If green background - This cell is mandatory for this element</t>
  </si>
  <si>
    <r>
      <t xml:space="preserve">     &gt; If gray background - This cell is should </t>
    </r>
    <r>
      <rPr>
        <b/>
        <sz val="11"/>
        <color theme="1"/>
        <rFont val="Calibri"/>
        <family val="2"/>
        <scheme val="minor"/>
      </rPr>
      <t>not</t>
    </r>
    <r>
      <rPr>
        <sz val="11"/>
        <color theme="1"/>
        <rFont val="Calibri"/>
        <family val="2"/>
        <scheme val="minor"/>
      </rPr>
      <t xml:space="preserve"> be used for this element</t>
    </r>
  </si>
  <si>
    <t xml:space="preserve">     &gt; If white background - This cell is is possible, but not mandatory, to use for this element</t>
  </si>
  <si>
    <t xml:space="preserve">     &gt; Hybrid bonus is only allowed in Teams (Tech/Free) and Free Combination</t>
  </si>
  <si>
    <t xml:space="preserve">     &gt; If you have calculation progran version 2024-20 or later, you can easly paste the copied cells by a blue button on the difficulty sheet.</t>
  </si>
  <si>
    <t xml:space="preserve">     &gt; If you dont have calculation progran version 2024-20 or later, you have to manually paste (paste as value only!) it yourself (unlock the sheet first).</t>
  </si>
  <si>
    <t>Data Managers instructions</t>
  </si>
  <si>
    <t>Acrobatic
routine</t>
  </si>
  <si>
    <t>Group</t>
  </si>
  <si>
    <t>To many</t>
  </si>
  <si>
    <t>v 6.1</t>
  </si>
  <si>
    <t>Acrobatic - Check</t>
  </si>
  <si>
    <t>Check on Acro groups (max 2 of same + minimum 1 of each). Check on "Theme" for Acrobatic. Clearer warning when exceeding time limit.</t>
  </si>
  <si>
    <t>v 6.2</t>
  </si>
  <si>
    <t>Multiple SuConn now possible directly after each other</t>
  </si>
  <si>
    <t>W!fr1.5</t>
  </si>
  <si>
    <t>Jfs1B</t>
  </si>
  <si>
    <t>Js1F</t>
  </si>
  <si>
    <t>v 6.3</t>
  </si>
  <si>
    <t>Updated tables from WA after LEN-clinic</t>
  </si>
  <si>
    <t>v 6.4</t>
  </si>
  <si>
    <t>Updated value on TRE womens duets no 3. Changed minimum team hybrids in Free Combination</t>
  </si>
  <si>
    <t>Mixed Req.Hyb.</t>
  </si>
  <si>
    <t>TB*0,5</t>
  </si>
  <si>
    <t>T1*0,5</t>
  </si>
  <si>
    <t>T2a*0,5</t>
  </si>
  <si>
    <t>T2b*0,5</t>
  </si>
  <si>
    <t>T3a*0,5</t>
  </si>
  <si>
    <t>T3b*0,5</t>
  </si>
  <si>
    <t>T3c*0,5</t>
  </si>
  <si>
    <t>T3d*0,5</t>
  </si>
  <si>
    <t>T4a*0,5</t>
  </si>
  <si>
    <t>T4b*0,5</t>
  </si>
  <si>
    <t>T4c*0,5</t>
  </si>
  <si>
    <t>T4d*0,5</t>
  </si>
  <si>
    <t>T4e*0,5</t>
  </si>
  <si>
    <t>T5a*0,5</t>
  </si>
  <si>
    <t>T5b*0,5</t>
  </si>
  <si>
    <t>T5c*0,5</t>
  </si>
  <si>
    <t>T5d*0,5</t>
  </si>
  <si>
    <t>T5e*0,5</t>
  </si>
  <si>
    <t>T6a*0,5</t>
  </si>
  <si>
    <t>T6b*0,5</t>
  </si>
  <si>
    <t>T6c*0,5</t>
  </si>
  <si>
    <t>T7*0,5</t>
  </si>
  <si>
    <t>T8*0,5</t>
  </si>
  <si>
    <t>T9a*0,5</t>
  </si>
  <si>
    <t>T9b*0,5</t>
  </si>
  <si>
    <t>CB*0,5</t>
  </si>
  <si>
    <t>C1a*0,5</t>
  </si>
  <si>
    <t>C1b*0,5</t>
  </si>
  <si>
    <t>C2a*0,5</t>
  </si>
  <si>
    <t>C2b*0,5</t>
  </si>
  <si>
    <t>C2c*0,5</t>
  </si>
  <si>
    <t>C3*0,5</t>
  </si>
  <si>
    <t>C4*0,5</t>
  </si>
  <si>
    <t>C5*0,5</t>
  </si>
  <si>
    <t>C6a*0,5</t>
  </si>
  <si>
    <t>C6b*0,5</t>
  </si>
  <si>
    <t>C7*0,5</t>
  </si>
  <si>
    <t>Hyb.Req-check</t>
  </si>
  <si>
    <t>v 6.5</t>
  </si>
  <si>
    <t>Hybrid with no DD - fixed problems with filling in after box 1 + take away bonus choices. Combo - No bonus choices now in Hybrid Solo/Duet. Mixed Tech Duet - Now fixed to only 3 boxes with family T+C+C, red if not. Teams - PC up to 15 in bonus.</t>
  </si>
  <si>
    <t>ChoHY</t>
  </si>
  <si>
    <t>RC1*0,3</t>
  </si>
  <si>
    <t>A2b*0,3</t>
  </si>
  <si>
    <t>Extended number of columns to put in element codes to 30. Turned the Print out to landscape view. Inserted what kind of team acrobatic is used on the printout. Fixed hybrid error warnings for factored hybrids. Inserted acro family letter infront of codes on the printout.</t>
  </si>
  <si>
    <t>Clubs to use on coch card drop down</t>
  </si>
  <si>
    <t xml:space="preserve">     &gt;   If "Club", you can write the name of the club manually on the coach card, or create a drop list of clubs here to the right --&gt;&gt;</t>
  </si>
  <si>
    <t>TB*0,3</t>
  </si>
  <si>
    <t>T1*0,3</t>
  </si>
  <si>
    <t>T2a*0,3</t>
  </si>
  <si>
    <t>T2b*0,3</t>
  </si>
  <si>
    <t>T3a*0,3</t>
  </si>
  <si>
    <t>T3b*0,3</t>
  </si>
  <si>
    <t>T3c*0,3</t>
  </si>
  <si>
    <t>T3d*0,3</t>
  </si>
  <si>
    <t>T4a*0,3</t>
  </si>
  <si>
    <t>T4b*0,3</t>
  </si>
  <si>
    <t>T4c*0,3</t>
  </si>
  <si>
    <t>T4d*0,3</t>
  </si>
  <si>
    <t>T4e*0,3</t>
  </si>
  <si>
    <t>T5a*0,3</t>
  </si>
  <si>
    <t>T5b*0,3</t>
  </si>
  <si>
    <t>T5c*0,3</t>
  </si>
  <si>
    <t>T5d*0,3</t>
  </si>
  <si>
    <t>T5e*0,3</t>
  </si>
  <si>
    <t>T6a*0,3</t>
  </si>
  <si>
    <t>T6b*0,3</t>
  </si>
  <si>
    <t>T6c*0,3</t>
  </si>
  <si>
    <t>T7*0,3</t>
  </si>
  <si>
    <t>T8*0,3</t>
  </si>
  <si>
    <t>T9a*0,3</t>
  </si>
  <si>
    <t>T9b*0,3</t>
  </si>
  <si>
    <t>SB*0,3</t>
  </si>
  <si>
    <t>SCB*0,3</t>
  </si>
  <si>
    <t>SCDB*0,3</t>
  </si>
  <si>
    <t>S1*0,3</t>
  </si>
  <si>
    <t>SC1*0,3</t>
  </si>
  <si>
    <t>SCD1*0,3</t>
  </si>
  <si>
    <t>S2*0,3</t>
  </si>
  <si>
    <t>SC2*0,3</t>
  </si>
  <si>
    <t>SCD2*0,3</t>
  </si>
  <si>
    <t>S3*0,3</t>
  </si>
  <si>
    <t>SC3*0,3</t>
  </si>
  <si>
    <t>SCD3*0,3</t>
  </si>
  <si>
    <t>S4*0,3</t>
  </si>
  <si>
    <t>SC4*0,3</t>
  </si>
  <si>
    <t>SCD4*0,3</t>
  </si>
  <si>
    <t>S5*0,3</t>
  </si>
  <si>
    <t>SC5*0,3</t>
  </si>
  <si>
    <t>SCD5*0,3</t>
  </si>
  <si>
    <t>S6*0,3</t>
  </si>
  <si>
    <t>SC6*0,3</t>
  </si>
  <si>
    <t>SCD6*0,3</t>
  </si>
  <si>
    <t>S7*0,3</t>
  </si>
  <si>
    <t>S8*0,3</t>
  </si>
  <si>
    <t>S9*0,3</t>
  </si>
  <si>
    <t>S10*0,3</t>
  </si>
  <si>
    <t>RB*0,3</t>
  </si>
  <si>
    <t>1RB*0,3</t>
  </si>
  <si>
    <t>2RB*0,3</t>
  </si>
  <si>
    <t>ROB*0,3</t>
  </si>
  <si>
    <t>RCB*0,3</t>
  </si>
  <si>
    <t>R1*0,3</t>
  </si>
  <si>
    <t>1R1*0,3</t>
  </si>
  <si>
    <t>2R1*0,3</t>
  </si>
  <si>
    <t>RD1*0,3</t>
  </si>
  <si>
    <t>RU1*0,3</t>
  </si>
  <si>
    <t>RO1*0,3</t>
  </si>
  <si>
    <t>R2*0,3</t>
  </si>
  <si>
    <t>1R2*0,3</t>
  </si>
  <si>
    <t>2R2*0,3</t>
  </si>
  <si>
    <t>RD2*0,3</t>
  </si>
  <si>
    <t>RU2*0,3</t>
  </si>
  <si>
    <t>R3*0,3</t>
  </si>
  <si>
    <t>1R3*0,3</t>
  </si>
  <si>
    <t>2R3*0,3</t>
  </si>
  <si>
    <t>RU3*0,3</t>
  </si>
  <si>
    <t>R4*0,3</t>
  </si>
  <si>
    <t>1R4*0,3</t>
  </si>
  <si>
    <t>2R4*0,3</t>
  </si>
  <si>
    <t>RD4*0,3</t>
  </si>
  <si>
    <t>RU4*0,3</t>
  </si>
  <si>
    <t>1R5*0,3</t>
  </si>
  <si>
    <t>2R5*0,3</t>
  </si>
  <si>
    <t>RU5*0,3</t>
  </si>
  <si>
    <t>1R6*0,3</t>
  </si>
  <si>
    <t>2R6*0,3</t>
  </si>
  <si>
    <t>RD6*0,3</t>
  </si>
  <si>
    <t>RU6*0,3</t>
  </si>
  <si>
    <t>2R7*0,3</t>
  </si>
  <si>
    <t>RU7*0,3</t>
  </si>
  <si>
    <t>2R8*0,3</t>
  </si>
  <si>
    <t>RU8*0,3</t>
  </si>
  <si>
    <t>2R9*0,3</t>
  </si>
  <si>
    <t>RU9*0,3</t>
  </si>
  <si>
    <t>2R10*0,3</t>
  </si>
  <si>
    <t>RU10*0,3</t>
  </si>
  <si>
    <t>AB*0,3</t>
  </si>
  <si>
    <t>A1a*0,3</t>
  </si>
  <si>
    <t>A1b*0,3</t>
  </si>
  <si>
    <t>A1c*0,3</t>
  </si>
  <si>
    <t>A1d*0,3</t>
  </si>
  <si>
    <t>A2a*0,3</t>
  </si>
  <si>
    <t>A3a*0,3</t>
  </si>
  <si>
    <t>A3b*0,3</t>
  </si>
  <si>
    <t>A4a*0,3</t>
  </si>
  <si>
    <t>A4b*0,3</t>
  </si>
  <si>
    <t>A5*0,3</t>
  </si>
  <si>
    <t>A6*0,3</t>
  </si>
  <si>
    <t>A7*0,3</t>
  </si>
  <si>
    <t>A8*0,3</t>
  </si>
  <si>
    <t>FB*0,3</t>
  </si>
  <si>
    <t>F1a*0,3</t>
  </si>
  <si>
    <t>F1b*0,3</t>
  </si>
  <si>
    <t>F1c*0,3</t>
  </si>
  <si>
    <t>F2a*0,3</t>
  </si>
  <si>
    <t>F2b*0,3</t>
  </si>
  <si>
    <t>F2c*0,3</t>
  </si>
  <si>
    <t>F3a*0,3</t>
  </si>
  <si>
    <t>F3b*0,3</t>
  </si>
  <si>
    <t>F3c*0,3</t>
  </si>
  <si>
    <t>F4a*0,3</t>
  </si>
  <si>
    <t>F4b*0,3</t>
  </si>
  <si>
    <t>F4c*0,3</t>
  </si>
  <si>
    <t>F4d*0,3</t>
  </si>
  <si>
    <t>F4e*0,3</t>
  </si>
  <si>
    <t>F4f*0,3</t>
  </si>
  <si>
    <t>F5a*0,3</t>
  </si>
  <si>
    <t>F5b*0,3</t>
  </si>
  <si>
    <t>F5c*0,3</t>
  </si>
  <si>
    <t>F6a*0,3</t>
  </si>
  <si>
    <t>F6b*0,3</t>
  </si>
  <si>
    <t>F6c*0,3</t>
  </si>
  <si>
    <t>F6d*0,3</t>
  </si>
  <si>
    <t>F7*0,3</t>
  </si>
  <si>
    <t>F8a*0,3</t>
  </si>
  <si>
    <t>F8b*0,3</t>
  </si>
  <si>
    <t>F9*0,3</t>
  </si>
  <si>
    <t>F10*0,3</t>
  </si>
  <si>
    <t>SB*0,5</t>
  </si>
  <si>
    <t>SCB*0,5</t>
  </si>
  <si>
    <t>SCDB*0,5</t>
  </si>
  <si>
    <t>S1*0,5</t>
  </si>
  <si>
    <t>SC1*0,5</t>
  </si>
  <si>
    <t>SCD1*0,5</t>
  </si>
  <si>
    <t>S2*0,5</t>
  </si>
  <si>
    <t>SC2*0,5</t>
  </si>
  <si>
    <t>SCD2*0,5</t>
  </si>
  <si>
    <t>S3*0,5</t>
  </si>
  <si>
    <t>SC3*0,5</t>
  </si>
  <si>
    <t>SCD3*0,5</t>
  </si>
  <si>
    <t>S4*0,5</t>
  </si>
  <si>
    <t>SC4*0,5</t>
  </si>
  <si>
    <t>SCD4*0,5</t>
  </si>
  <si>
    <t>S5*0,5</t>
  </si>
  <si>
    <t>SC5*0,5</t>
  </si>
  <si>
    <t>SCD5*0,5</t>
  </si>
  <si>
    <t>S6*0,5</t>
  </si>
  <si>
    <t>SC6*0,5</t>
  </si>
  <si>
    <t>SCD6*0,5</t>
  </si>
  <si>
    <t>S7*0,5</t>
  </si>
  <si>
    <t>S8*0,5</t>
  </si>
  <si>
    <t>S9*0,5</t>
  </si>
  <si>
    <t>S10*0,5</t>
  </si>
  <si>
    <t>RB*0,5</t>
  </si>
  <si>
    <t>1RB*0,5</t>
  </si>
  <si>
    <t>2RB*0,5</t>
  </si>
  <si>
    <t>ROB*0,5</t>
  </si>
  <si>
    <t>RCB*0,5</t>
  </si>
  <si>
    <t>R1*0,5</t>
  </si>
  <si>
    <t>1R1*0,5</t>
  </si>
  <si>
    <t>2R1*0,5</t>
  </si>
  <si>
    <t>RD1*0,5</t>
  </si>
  <si>
    <t>RU1*0,5</t>
  </si>
  <si>
    <t>RO1*0,5</t>
  </si>
  <si>
    <t>RC1*0,5</t>
  </si>
  <si>
    <t>R2*0,5</t>
  </si>
  <si>
    <t>1R2*0,5</t>
  </si>
  <si>
    <t>2R2*0,5</t>
  </si>
  <si>
    <t>RD2*0,5</t>
  </si>
  <si>
    <t>RU2*0,5</t>
  </si>
  <si>
    <t>R3*0,5</t>
  </si>
  <si>
    <t>1R3*0,5</t>
  </si>
  <si>
    <t>2R3*0,5</t>
  </si>
  <si>
    <t>RU3*0,5</t>
  </si>
  <si>
    <t>R4*0,5</t>
  </si>
  <si>
    <t>1R4*0,5</t>
  </si>
  <si>
    <t>2R4*0,5</t>
  </si>
  <si>
    <t>RD4*0,5</t>
  </si>
  <si>
    <t>RU4*0,5</t>
  </si>
  <si>
    <t>1R5*0,5</t>
  </si>
  <si>
    <t>2R5*0,5</t>
  </si>
  <si>
    <t>RU5*0,5</t>
  </si>
  <si>
    <t>1R6*0,5</t>
  </si>
  <si>
    <t>2R6*0,5</t>
  </si>
  <si>
    <t>RD6*0,5</t>
  </si>
  <si>
    <t>RU6*0,5</t>
  </si>
  <si>
    <t>2R7*0,5</t>
  </si>
  <si>
    <t>RU7*0,5</t>
  </si>
  <si>
    <t>2R8*0,5</t>
  </si>
  <si>
    <t>RU8*0,5</t>
  </si>
  <si>
    <t>2R9*0,5</t>
  </si>
  <si>
    <t>RU9*0,5</t>
  </si>
  <si>
    <t>2R10*0,5</t>
  </si>
  <si>
    <t>RU10*0,5</t>
  </si>
  <si>
    <t>AB*0,5</t>
  </si>
  <si>
    <t>A1a*0,5</t>
  </si>
  <si>
    <t>A1b*0,5</t>
  </si>
  <si>
    <t>A1c*0,5</t>
  </si>
  <si>
    <t>A1d*0,5</t>
  </si>
  <si>
    <t>A2a*0,5</t>
  </si>
  <si>
    <t>A2b*0,5</t>
  </si>
  <si>
    <t>A3a*0,5</t>
  </si>
  <si>
    <t>A3b*0,5</t>
  </si>
  <si>
    <t>A4a*0,5</t>
  </si>
  <si>
    <t>A4b*0,5</t>
  </si>
  <si>
    <t>A5*0,5</t>
  </si>
  <si>
    <t>A6*0,5</t>
  </si>
  <si>
    <t>A7*0,5</t>
  </si>
  <si>
    <t>A8*0,5</t>
  </si>
  <si>
    <t>FB*0,5</t>
  </si>
  <si>
    <t>F1a*0,5</t>
  </si>
  <si>
    <t>F1b*0,5</t>
  </si>
  <si>
    <t>F1c*0,5</t>
  </si>
  <si>
    <t>F2a*0,5</t>
  </si>
  <si>
    <t>F2b*0,5</t>
  </si>
  <si>
    <t>F2c*0,5</t>
  </si>
  <si>
    <t>F3a*0,5</t>
  </si>
  <si>
    <t>F3b*0,5</t>
  </si>
  <si>
    <t>F3c*0,5</t>
  </si>
  <si>
    <t>F4a*0,5</t>
  </si>
  <si>
    <t>F4b*0,5</t>
  </si>
  <si>
    <t>F4c*0,5</t>
  </si>
  <si>
    <t>F4d*0,5</t>
  </si>
  <si>
    <t>F4e*0,5</t>
  </si>
  <si>
    <t>F4f*0,5</t>
  </si>
  <si>
    <t>F5a*0,5</t>
  </si>
  <si>
    <t>F5b*0,5</t>
  </si>
  <si>
    <t>F5c*0,5</t>
  </si>
  <si>
    <t>F6a*0,5</t>
  </si>
  <si>
    <t>F6b*0,5</t>
  </si>
  <si>
    <t>F6c*0,5</t>
  </si>
  <si>
    <t>F6d*0,5</t>
  </si>
  <si>
    <t>F7*0,5</t>
  </si>
  <si>
    <t>F8a*0,5</t>
  </si>
  <si>
    <t>F8b*0,5</t>
  </si>
  <si>
    <t>F9*0,5</t>
  </si>
  <si>
    <t>F10*0,5</t>
  </si>
  <si>
    <t>Hyb_Code</t>
  </si>
  <si>
    <t>Hyb_Tech</t>
  </si>
  <si>
    <t>Hyb_Tech_Value</t>
  </si>
  <si>
    <t>v 6.7</t>
  </si>
  <si>
    <t>v 6.8</t>
  </si>
  <si>
    <t>If Hybrid is ChoHy, then BM=0. Error in row 28, some formulas was deleted by mistake.</t>
  </si>
  <si>
    <t>v 6.9</t>
  </si>
  <si>
    <t>T.R.E.</t>
  </si>
  <si>
    <t>ChoHy</t>
  </si>
  <si>
    <t>Minor adjustments in "Print" and some headings and comments.</t>
  </si>
  <si>
    <t>Cs1t0.5</t>
  </si>
  <si>
    <t>v 7.0</t>
  </si>
  <si>
    <t>One acro code incorrect, now corrected - Cs1t0.5</t>
  </si>
  <si>
    <t>CB+*0,5</t>
  </si>
  <si>
    <t>C1a+*0,5</t>
  </si>
  <si>
    <t>C1b+*0,5</t>
  </si>
  <si>
    <t>C2a+*0,5</t>
  </si>
  <si>
    <t>C2b+*0,5</t>
  </si>
  <si>
    <t>C2c+*0,5</t>
  </si>
  <si>
    <t>C3+*0,5</t>
  </si>
  <si>
    <t>C4+*0,5</t>
  </si>
  <si>
    <t>C5+*0,5</t>
  </si>
  <si>
    <t>C6a+*0,5</t>
  </si>
  <si>
    <t>C6b+*0,5</t>
  </si>
  <si>
    <t>C7+*0,5</t>
  </si>
  <si>
    <t>CB*0,3</t>
  </si>
  <si>
    <t>CB+*0,3</t>
  </si>
  <si>
    <t>C1a*0,3</t>
  </si>
  <si>
    <t>C1a+*0,3</t>
  </si>
  <si>
    <t>C1b*0,3</t>
  </si>
  <si>
    <t>C1b+*0,3</t>
  </si>
  <si>
    <t>C2a*0,3</t>
  </si>
  <si>
    <t>C2a+*0,3</t>
  </si>
  <si>
    <t>C2b*0,3</t>
  </si>
  <si>
    <t>C2b+*0,3</t>
  </si>
  <si>
    <t>C2c*0,3</t>
  </si>
  <si>
    <t>C2c+*0,3</t>
  </si>
  <si>
    <t>C3*0,3</t>
  </si>
  <si>
    <t>C3+*0,3</t>
  </si>
  <si>
    <t>C4*0,3</t>
  </si>
  <si>
    <t>C4+*0,3</t>
  </si>
  <si>
    <t>C5*0,3</t>
  </si>
  <si>
    <t>C5+*0,3</t>
  </si>
  <si>
    <t>C6a*0,3</t>
  </si>
  <si>
    <t>C6a+*0,3</t>
  </si>
  <si>
    <t>C6b*0,3</t>
  </si>
  <si>
    <t>C6b+*0,3</t>
  </si>
  <si>
    <t>C7*0,3</t>
  </si>
  <si>
    <t>C7+*0,3</t>
  </si>
  <si>
    <t>v 7.1</t>
  </si>
  <si>
    <t>Added factored Hybrid - C for Teams/Combo/Acrobatic</t>
  </si>
  <si>
    <t>v 7.2</t>
  </si>
  <si>
    <t>Exporting ChoHyfor Combo to score program to better showing in Detailed Score. Correcting red warning on more than 3 of same technique</t>
  </si>
  <si>
    <t>Color Hybrid families:</t>
  </si>
  <si>
    <r>
      <t xml:space="preserve">&gt;   If you want to color the different hybrid families (to easier identify families) -&gt; </t>
    </r>
    <r>
      <rPr>
        <b/>
        <sz val="11"/>
        <color theme="1"/>
        <rFont val="Calibri"/>
        <family val="2"/>
        <scheme val="minor"/>
      </rPr>
      <t>Turn on the color function in cell AL16</t>
    </r>
  </si>
  <si>
    <t>v 7.3</t>
  </si>
  <si>
    <t>v 7.4</t>
  </si>
  <si>
    <t>Corrected BM in duets hybrids in the green "copy area". This did not affect the coach card or the scoring program, but it looks incorrect.</t>
  </si>
  <si>
    <t>Colors now possible to use for hybrid families to be more visible. If you want to use this, make a mark in cell AL16</t>
  </si>
  <si>
    <t>v 7.5</t>
  </si>
  <si>
    <t xml:space="preserve">Acro    L+spot&gt;  was missing the last   &gt;   . Now corrected </t>
  </si>
  <si>
    <t>v 7.6</t>
  </si>
  <si>
    <t>&gt;   IMPORTANT - Check that all codes are correct. Responsibillity for correct codes lies with the person creating the coach card!</t>
  </si>
  <si>
    <t>If you have 2 Acrobatics directly after each other, the CC flashes red, but this is OK. Fixed now. ChoHY was validated as a Hybrid Connection Family and the check for all families was then wrong, Fixed now.</t>
  </si>
  <si>
    <t>v 7.7</t>
  </si>
  <si>
    <t>Acro OK?</t>
  </si>
  <si>
    <t>SK Neptun</t>
  </si>
  <si>
    <t>Växjö SS</t>
  </si>
  <si>
    <t>Jönköpings SS</t>
  </si>
  <si>
    <t>SK Täby Synchro</t>
  </si>
  <si>
    <t>Örebro SA</t>
  </si>
  <si>
    <t>Göteborg Sim</t>
  </si>
  <si>
    <t>Järfälla SS</t>
  </si>
  <si>
    <t>Atlas SF</t>
  </si>
  <si>
    <t>Hallsberg Artistic</t>
  </si>
  <si>
    <t>Kontsim Amfritrite</t>
  </si>
  <si>
    <t>Kristianstads SLS</t>
  </si>
  <si>
    <t>Warning text on "Print" if violation of "Theme" or to many Acrobatic groups or missing Acrobatic groups or missing TRE or missing required elements.</t>
  </si>
  <si>
    <t>v 7.8</t>
  </si>
  <si>
    <t>Lf</t>
  </si>
  <si>
    <t>S!r0.5&gt;</t>
  </si>
  <si>
    <t>S!fr0.5&gt;</t>
  </si>
  <si>
    <t>Js0.5B</t>
  </si>
  <si>
    <t>Jdf</t>
  </si>
  <si>
    <t>SL!f2+r1&gt;</t>
  </si>
  <si>
    <t>Adapted to rule changes by AW by October-25 (New appendix 6+7)</t>
  </si>
  <si>
    <t>D</t>
  </si>
  <si>
    <t>s1.5t1fo</t>
  </si>
  <si>
    <t>ss1.5</t>
  </si>
  <si>
    <t>1PPx</t>
  </si>
  <si>
    <t>1PH</t>
  </si>
  <si>
    <t>PP2</t>
  </si>
  <si>
    <t>H1F/</t>
  </si>
  <si>
    <t>HT+</t>
  </si>
  <si>
    <t>pp</t>
  </si>
  <si>
    <t>ct</t>
  </si>
  <si>
    <t>2pp</t>
  </si>
  <si>
    <t>2ct</t>
  </si>
  <si>
    <t>ff</t>
  </si>
  <si>
    <t>sn</t>
  </si>
  <si>
    <t>2ff</t>
  </si>
  <si>
    <t>2sn</t>
  </si>
  <si>
    <t>3pS</t>
  </si>
  <si>
    <t>3pbA</t>
  </si>
  <si>
    <t>2pA/</t>
  </si>
  <si>
    <t>BA</t>
  </si>
  <si>
    <t>DBB</t>
  </si>
  <si>
    <t>2pBb</t>
  </si>
  <si>
    <t>&gt;2P2P</t>
  </si>
  <si>
    <t>SF+TP</t>
  </si>
  <si>
    <t>ShiShi+</t>
  </si>
  <si>
    <t>HP+L</t>
  </si>
  <si>
    <t>Pr1.5</t>
  </si>
  <si>
    <t>Ph</t>
  </si>
  <si>
    <t>P1.5h</t>
  </si>
  <si>
    <t>P2</t>
  </si>
  <si>
    <t>P2S</t>
  </si>
  <si>
    <t>P2Sr0.5</t>
  </si>
  <si>
    <t>P2Sr1</t>
  </si>
  <si>
    <t>PDB</t>
  </si>
  <si>
    <t>PDB0.5</t>
  </si>
  <si>
    <t>PDB1</t>
  </si>
  <si>
    <t>Construction "C"</t>
  </si>
  <si>
    <t>Direction "D"</t>
  </si>
  <si>
    <t>Area of support and type of connection "S"</t>
  </si>
  <si>
    <t>Position 1 "P"</t>
  </si>
  <si>
    <t>Position 2 "P"</t>
  </si>
  <si>
    <t>Rotation of construction "R"</t>
  </si>
  <si>
    <t>The plane and degree of rotation "T"</t>
  </si>
  <si>
    <t>Bonus "B"</t>
  </si>
  <si>
    <t>Diva</t>
  </si>
  <si>
    <t>PRoll</t>
  </si>
  <si>
    <t>Kozak</t>
  </si>
  <si>
    <t>Ps1o</t>
  </si>
  <si>
    <t>Ps1t0.5o</t>
  </si>
  <si>
    <t>Pf1</t>
  </si>
  <si>
    <t>Pf1o</t>
  </si>
  <si>
    <t>Mov1</t>
  </si>
  <si>
    <t>Mov1+t</t>
  </si>
  <si>
    <t>L+spot</t>
  </si>
  <si>
    <t>Thr&gt;hand</t>
  </si>
  <si>
    <t>Thr&gt;StH&gt;1F</t>
  </si>
  <si>
    <t>Chs0.5</t>
  </si>
  <si>
    <t>Ju</t>
  </si>
  <si>
    <t>1P&gt;H</t>
  </si>
  <si>
    <t>H&gt;1P</t>
  </si>
  <si>
    <t>1F&gt;1F+</t>
  </si>
  <si>
    <t>2F&gt;2F</t>
  </si>
  <si>
    <t>Group A+P</t>
  </si>
  <si>
    <t>Check bonus repeat</t>
  </si>
  <si>
    <t>Thr&gt;Pair&gt;</t>
  </si>
  <si>
    <t>Construction/Connection check B + P</t>
  </si>
  <si>
    <t>B - Constructions with the type of connections that must be used with</t>
  </si>
  <si>
    <t>P - Constructions with the type of connections that must be used with</t>
  </si>
  <si>
    <t>2pK</t>
  </si>
  <si>
    <t>L/Sif+P</t>
  </si>
  <si>
    <t>1P1F</t>
  </si>
  <si>
    <t>LayF</t>
  </si>
  <si>
    <t>2pH</t>
  </si>
  <si>
    <t>v 7.9</t>
  </si>
  <si>
    <t>Infinity mark removed from codes. This was not a part of the code for coach cards. More a reference for TC and coaches.</t>
  </si>
  <si>
    <t>v 8.0</t>
  </si>
  <si>
    <t>Restriction for duets and mixed duets with only 2x per technique are only restricted for connections. All other hybrids have a 3x per technique restriction. Corrected now. (AS 29.6.1.10 c)</t>
  </si>
  <si>
    <t>v 8.1</t>
  </si>
  <si>
    <t>Corrected error warning about to many of the same hybrid family or hybrid technique.</t>
  </si>
  <si>
    <t>v 8.2</t>
  </si>
  <si>
    <t>check for restriction on duets and mixed duets with only 2x per technique in connections fell away in v 8.1. Fixed now again.</t>
  </si>
  <si>
    <t>v 8.3</t>
  </si>
  <si>
    <t>The hybrid family minimum check did not work after the 17th element part. This did not effect scoring, only the warning.</t>
  </si>
  <si>
    <t>v 8.4</t>
  </si>
  <si>
    <t>Corrected an error with checking for double bonus on Acrobatic Platforms</t>
  </si>
  <si>
    <t>Chk1</t>
  </si>
  <si>
    <t>Chk2</t>
  </si>
  <si>
    <t>APNEA</t>
  </si>
  <si>
    <t>Limit</t>
  </si>
  <si>
    <t>Element</t>
  </si>
  <si>
    <t>Start</t>
  </si>
  <si>
    <t>End</t>
  </si>
  <si>
    <t>EA-violation</t>
  </si>
  <si>
    <t>x</t>
  </si>
  <si>
    <t>Use EA apnea rule</t>
  </si>
  <si>
    <t>v 8.5</t>
  </si>
  <si>
    <t>Included warning if violation of EA apnea rule</t>
  </si>
  <si>
    <t>APNEA-rule !</t>
  </si>
  <si>
    <t>&gt;   European Aquatics rule about max 25 seconds in hybrids is by default active. If no need, change this in "Coach card" cell C10</t>
  </si>
  <si>
    <t>Senior</t>
  </si>
  <si>
    <t>Junior</t>
  </si>
  <si>
    <t>Youth</t>
  </si>
  <si>
    <t>12 and U</t>
  </si>
  <si>
    <t>W Solo</t>
  </si>
  <si>
    <t>M Solo</t>
  </si>
  <si>
    <t xml:space="preserve">2026 rules :  </t>
  </si>
  <si>
    <t>MSolo</t>
  </si>
  <si>
    <t>v 9.0</t>
  </si>
  <si>
    <t>T9</t>
  </si>
  <si>
    <t>T10</t>
  </si>
  <si>
    <t>A9</t>
  </si>
  <si>
    <t>A10</t>
  </si>
  <si>
    <t>F3d</t>
  </si>
  <si>
    <t>T9*0,5</t>
  </si>
  <si>
    <t>T10*0,5</t>
  </si>
  <si>
    <t>A9*0,5</t>
  </si>
  <si>
    <t>A10*0,5</t>
  </si>
  <si>
    <t>F3d*0,5</t>
  </si>
  <si>
    <t>T9*0,3</t>
  </si>
  <si>
    <t>T10*0,3</t>
  </si>
  <si>
    <t>A9*0,3</t>
  </si>
  <si>
    <t>A10*0,3</t>
  </si>
  <si>
    <t>F3d*0,3</t>
  </si>
  <si>
    <t xml:space="preserve">2027 rules :  </t>
  </si>
  <si>
    <t>SL!f2r0.5+r1&gt;</t>
  </si>
  <si>
    <t>W!s0.5p</t>
  </si>
  <si>
    <t>JBs1t1</t>
  </si>
  <si>
    <t>JBss1t1</t>
  </si>
  <si>
    <t>SL!f2r1+r1</t>
  </si>
  <si>
    <t>Jdt1</t>
  </si>
  <si>
    <t>Js1.5B</t>
  </si>
  <si>
    <t>Js1Ro</t>
  </si>
  <si>
    <t>Js1R</t>
  </si>
  <si>
    <t>SL!2+r2</t>
  </si>
  <si>
    <t>Js1Bo</t>
  </si>
  <si>
    <t>W!+catchSL</t>
  </si>
  <si>
    <t>W!+catchSL+r1</t>
  </si>
  <si>
    <t>Js1p</t>
  </si>
  <si>
    <t>Js1t0.5B+pt</t>
  </si>
  <si>
    <t>Js1B+pt</t>
  </si>
  <si>
    <t>1FH/</t>
  </si>
  <si>
    <t>1F&gt;1P</t>
  </si>
  <si>
    <t>Ps1!</t>
  </si>
  <si>
    <t>Ps1t1o</t>
  </si>
  <si>
    <t>ChangeL</t>
  </si>
  <si>
    <t>Spiral</t>
  </si>
  <si>
    <t>1PH/+H1P/</t>
  </si>
  <si>
    <t>1FH/+S1P/</t>
  </si>
  <si>
    <t>1P&gt;1P</t>
  </si>
  <si>
    <t>3pS+</t>
  </si>
  <si>
    <t>Cs2</t>
  </si>
  <si>
    <t>Lotus</t>
  </si>
  <si>
    <t>Switch</t>
  </si>
  <si>
    <t>Bloom</t>
  </si>
  <si>
    <t>2F1.5</t>
  </si>
  <si>
    <t>Ret1Pa</t>
  </si>
  <si>
    <t>Mov1+t1</t>
  </si>
  <si>
    <t>Cs1.5t0.5o</t>
  </si>
  <si>
    <t>Ps1!o</t>
  </si>
  <si>
    <t>Ps1.5!</t>
  </si>
  <si>
    <t>Cs2t0.5</t>
  </si>
  <si>
    <t>Mov!</t>
  </si>
  <si>
    <t>RetF</t>
  </si>
  <si>
    <t>Weasel</t>
  </si>
  <si>
    <t>r1.5L+</t>
  </si>
  <si>
    <t>4L</t>
  </si>
  <si>
    <t>Hybrid - Choreography (DD = 1)</t>
  </si>
  <si>
    <t>Open Team Acrobatic / Youth 13-15 (F) / 13-16 (M)</t>
  </si>
  <si>
    <t>Acro check in Acrobatics and Team Tech</t>
  </si>
  <si>
    <t>To many in Team Tech</t>
  </si>
  <si>
    <t>WA rules 2027 implemented but still possible to use 2026-rules</t>
  </si>
  <si>
    <t>Group 1/2/3/4</t>
  </si>
  <si>
    <t>No 0,3</t>
  </si>
  <si>
    <t>No 0,5</t>
  </si>
  <si>
    <r>
      <t xml:space="preserve"> (</t>
    </r>
    <r>
      <rPr>
        <sz val="11"/>
        <color rgb="FFFF0000"/>
        <rFont val="Calibri"/>
        <family val="2"/>
        <scheme val="minor"/>
      </rPr>
      <t>Red</t>
    </r>
    <r>
      <rPr>
        <sz val="11"/>
        <color theme="1"/>
        <rFont val="Calibri"/>
        <family val="2"/>
        <scheme val="minor"/>
      </rPr>
      <t>) = Something is wrong - check rules</t>
    </r>
  </si>
  <si>
    <t>&gt;   Choose if you use 2026-rules. Otherwise 2027-rules are default.</t>
  </si>
  <si>
    <t>v. 9.1</t>
  </si>
  <si>
    <t>v 9.1</t>
  </si>
  <si>
    <t>X</t>
  </si>
  <si>
    <t>Corrected a fault in warning about to many hybrids of the same technique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</si>
</sst>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quot;kr&quot;;[Red]\-#,##0\ &quot;kr&quot;"/>
    <numFmt numFmtId="165" formatCode="00"/>
    <numFmt numFmtId="166" formatCode="mm:ss;@"/>
    <numFmt numFmtId="167" formatCode="0.000"/>
    <numFmt numFmtId="168" formatCode="0.0"/>
    <numFmt numFmtId="169" formatCode="0.0%"/>
    <numFmt numFmtId="170" formatCode="0.0000"/>
    <numFmt numFmtId="171" formatCode="0.000#"/>
  </numFmts>
  <fonts count="61" x14ac:knownFonts="1">
    <font>
      <sz val="11"/>
      <color theme="1"/>
      <name val="Calibri"/>
      <family val="2"/>
      <scheme val="minor"/>
    </font>
    <font>
      <sz val="11"/>
      <color theme="1"/>
      <name val="Calibri"/>
      <family val="2"/>
      <charset val="204"/>
      <scheme val="minor"/>
    </font>
    <font>
      <sz val="10"/>
      <color theme="1"/>
      <name val="Arial"/>
      <family val="2"/>
    </font>
    <font>
      <b/>
      <sz val="28"/>
      <color theme="0"/>
      <name val="Arial"/>
      <family val="2"/>
    </font>
    <font>
      <b/>
      <sz val="10"/>
      <color theme="1"/>
      <name val="Arial"/>
      <family val="2"/>
    </font>
    <font>
      <sz val="10"/>
      <color theme="1"/>
      <name val="Calibri"/>
      <family val="2"/>
      <charset val="204"/>
      <scheme val="minor"/>
    </font>
    <font>
      <sz val="10"/>
      <color theme="0"/>
      <name val="Arial"/>
      <family val="2"/>
    </font>
    <font>
      <sz val="10"/>
      <name val="Arial"/>
      <family val="2"/>
    </font>
    <font>
      <sz val="8"/>
      <color theme="1"/>
      <name val="Arial"/>
      <family val="2"/>
    </font>
    <font>
      <sz val="8"/>
      <name val="Calibri"/>
      <family val="2"/>
      <scheme val="minor"/>
    </font>
    <font>
      <b/>
      <sz val="10"/>
      <color theme="0"/>
      <name val="Arial"/>
      <family val="2"/>
    </font>
    <font>
      <sz val="10"/>
      <color theme="0" tint="-0.14999847407452621"/>
      <name val="Arial"/>
      <family val="2"/>
    </font>
    <font>
      <sz val="11"/>
      <color theme="1"/>
      <name val="Arial"/>
      <family val="2"/>
    </font>
    <font>
      <sz val="10"/>
      <color rgb="FF000000"/>
      <name val="Times New Roman"/>
      <family val="1"/>
    </font>
    <font>
      <b/>
      <sz val="8"/>
      <name val="Tahoma"/>
      <family val="2"/>
    </font>
    <font>
      <b/>
      <sz val="6"/>
      <name val="Tahoma"/>
      <family val="2"/>
    </font>
    <font>
      <b/>
      <sz val="8"/>
      <name val="Arial Black"/>
      <family val="2"/>
    </font>
    <font>
      <b/>
      <sz val="11"/>
      <name val="Tahoma"/>
      <family val="2"/>
    </font>
    <font>
      <sz val="11"/>
      <color rgb="FF000000"/>
      <name val="Times New Roman"/>
      <family val="1"/>
    </font>
    <font>
      <sz val="12"/>
      <color rgb="FF000000"/>
      <name val="Times New Roman"/>
      <family val="1"/>
    </font>
    <font>
      <sz val="8"/>
      <name val="Tahoma"/>
      <family val="2"/>
    </font>
    <font>
      <b/>
      <sz val="11"/>
      <color rgb="FF000000"/>
      <name val="Times New Roman"/>
      <family val="1"/>
    </font>
    <font>
      <b/>
      <sz val="48"/>
      <name val="Calibri"/>
      <family val="2"/>
    </font>
    <font>
      <b/>
      <sz val="48"/>
      <color rgb="FF0182C5"/>
      <name val="Calibri"/>
      <family val="2"/>
    </font>
    <font>
      <sz val="14"/>
      <color rgb="FF000000"/>
      <name val="Calibri"/>
      <family val="2"/>
      <scheme val="minor"/>
    </font>
    <font>
      <sz val="11"/>
      <color rgb="FFFF0000"/>
      <name val="Calibri"/>
      <family val="2"/>
      <scheme val="minor"/>
    </font>
    <font>
      <b/>
      <sz val="10"/>
      <color rgb="FFFF0000"/>
      <name val="Arial"/>
      <family val="2"/>
    </font>
    <font>
      <sz val="10"/>
      <color rgb="FFFF0000"/>
      <name val="Arial"/>
      <family val="2"/>
    </font>
    <font>
      <sz val="10"/>
      <color rgb="FFFF0000"/>
      <name val="Calibri"/>
      <family val="2"/>
      <charset val="204"/>
      <scheme val="minor"/>
    </font>
    <font>
      <b/>
      <sz val="10"/>
      <color rgb="FFFF0000"/>
      <name val="Calibri"/>
      <family val="2"/>
      <scheme val="minor"/>
    </font>
    <font>
      <sz val="11"/>
      <color rgb="FFFF0000"/>
      <name val="Calibri"/>
      <family val="2"/>
      <charset val="204"/>
      <scheme val="minor"/>
    </font>
    <font>
      <b/>
      <sz val="16"/>
      <color theme="1"/>
      <name val="Calibri"/>
      <family val="2"/>
      <scheme val="minor"/>
    </font>
    <font>
      <b/>
      <sz val="12"/>
      <color rgb="FF000000"/>
      <name val="Times New Roman"/>
      <family val="1"/>
    </font>
    <font>
      <sz val="14"/>
      <color rgb="FF000000"/>
      <name val="Times New Roman"/>
      <family val="1"/>
    </font>
    <font>
      <i/>
      <sz val="11"/>
      <color theme="1"/>
      <name val="Calibri"/>
      <family val="2"/>
      <scheme val="minor"/>
    </font>
    <font>
      <b/>
      <sz val="9"/>
      <color theme="1"/>
      <name val="Arial"/>
      <family val="2"/>
    </font>
    <font>
      <sz val="10"/>
      <color rgb="FFFF0000"/>
      <name val="Times New Roman"/>
      <family val="1"/>
    </font>
    <font>
      <sz val="11"/>
      <color rgb="FFFF0000"/>
      <name val="Times New Roman"/>
      <family val="1"/>
    </font>
    <font>
      <b/>
      <sz val="11"/>
      <color rgb="FFFF0000"/>
      <name val="Times New Roman"/>
      <family val="1"/>
    </font>
    <font>
      <b/>
      <sz val="11"/>
      <color theme="1"/>
      <name val="Calibri"/>
      <family val="2"/>
      <scheme val="minor"/>
    </font>
    <font>
      <b/>
      <sz val="48"/>
      <color rgb="FF000000"/>
      <name val="Arial"/>
      <family val="2"/>
    </font>
    <font>
      <b/>
      <sz val="11"/>
      <color theme="9"/>
      <name val="Calibri"/>
      <family val="2"/>
      <scheme val="minor"/>
    </font>
    <font>
      <b/>
      <sz val="12"/>
      <color theme="1"/>
      <name val="Calibri"/>
      <family val="2"/>
      <scheme val="minor"/>
    </font>
    <font>
      <sz val="12"/>
      <color theme="1"/>
      <name val="Arial"/>
      <family val="2"/>
    </font>
    <font>
      <b/>
      <sz val="8"/>
      <color theme="1"/>
      <name val="Arial"/>
      <family val="2"/>
    </font>
    <font>
      <sz val="18"/>
      <color rgb="FF000000"/>
      <name val="Times New Roman"/>
      <family val="1"/>
    </font>
    <font>
      <b/>
      <sz val="16"/>
      <color rgb="FF000000"/>
      <name val="Times New Roman"/>
      <family val="1"/>
    </font>
    <font>
      <sz val="10"/>
      <color theme="0"/>
      <name val="Times New Roman"/>
      <family val="1"/>
    </font>
    <font>
      <sz val="11"/>
      <color theme="0"/>
      <name val="Times New Roman"/>
      <family val="1"/>
    </font>
    <font>
      <b/>
      <sz val="11"/>
      <color theme="0"/>
      <name val="Times New Roman"/>
      <family val="1"/>
    </font>
    <font>
      <sz val="9"/>
      <color indexed="81"/>
      <name val="Tahoma"/>
      <family val="2"/>
    </font>
    <font>
      <b/>
      <sz val="9"/>
      <color indexed="81"/>
      <name val="Tahoma"/>
      <family val="2"/>
    </font>
    <font>
      <sz val="8"/>
      <color theme="1"/>
      <name val="Aptos Narrow"/>
      <family val="2"/>
    </font>
    <font>
      <b/>
      <sz val="11"/>
      <color theme="1"/>
      <name val="Arial"/>
      <family val="2"/>
    </font>
    <font>
      <b/>
      <sz val="10"/>
      <name val="Arial"/>
      <family val="2"/>
    </font>
    <font>
      <b/>
      <sz val="16"/>
      <name val="Arial"/>
      <family val="2"/>
    </font>
    <font>
      <b/>
      <sz val="12"/>
      <color theme="0"/>
      <name val="Times New Roman"/>
      <family val="1"/>
    </font>
    <font>
      <b/>
      <sz val="36"/>
      <name val="Calibri"/>
      <family val="2"/>
    </font>
    <font>
      <sz val="11"/>
      <color theme="0"/>
      <name val="Arial"/>
      <family val="2"/>
    </font>
    <font>
      <b/>
      <sz val="18"/>
      <color theme="1"/>
      <name val="Arial"/>
      <family val="2"/>
    </font>
    <font>
      <b/>
      <sz val="11"/>
      <color theme="4" tint="0.79998168889431442"/>
      <name val="Arial"/>
      <family val="2"/>
    </font>
  </fonts>
  <fills count="20">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1F1F1"/>
      </patternFill>
    </fill>
    <fill>
      <patternFill patternType="solid">
        <fgColor theme="0" tint="-4.9989318521683403E-2"/>
        <bgColor indexed="64"/>
      </patternFill>
    </fill>
    <fill>
      <patternFill patternType="solid">
        <fgColor rgb="FFFF0000"/>
        <bgColor indexed="64"/>
      </patternFill>
    </fill>
    <fill>
      <patternFill patternType="solid">
        <fgColor theme="0"/>
        <bgColor indexed="64"/>
      </patternFill>
    </fill>
    <fill>
      <patternFill patternType="solid">
        <fgColor theme="6" tint="0.59999389629810485"/>
        <bgColor indexed="64"/>
      </patternFill>
    </fill>
    <fill>
      <patternFill patternType="solid">
        <fgColor rgb="FFFFA3A3"/>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D9E2F3"/>
        <bgColor indexed="64"/>
      </patternFill>
    </fill>
    <fill>
      <patternFill patternType="solid">
        <fgColor rgb="FFFFB3B3"/>
        <bgColor indexed="64"/>
      </patternFill>
    </fill>
  </fills>
  <borders count="58">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style="medium">
        <color indexed="64"/>
      </left>
      <right/>
      <top/>
      <bottom style="medium">
        <color auto="1"/>
      </bottom>
      <diagonal/>
    </border>
    <border>
      <left style="thin">
        <color indexed="64"/>
      </left>
      <right/>
      <top style="thin">
        <color indexed="64"/>
      </top>
      <bottom/>
      <diagonal/>
    </border>
    <border>
      <left style="thin">
        <color indexed="64"/>
      </left>
      <right/>
      <top/>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auto="1"/>
      </left>
      <right style="thin">
        <color auto="1"/>
      </right>
      <top/>
      <bottom/>
      <diagonal/>
    </border>
    <border>
      <left/>
      <right style="thin">
        <color auto="1"/>
      </right>
      <top style="thin">
        <color rgb="FF000000"/>
      </top>
      <bottom style="thin">
        <color rgb="FF000000"/>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medium">
        <color indexed="64"/>
      </right>
      <top style="thin">
        <color indexed="64"/>
      </top>
      <bottom style="medium">
        <color indexed="64"/>
      </bottom>
      <diagonal/>
    </border>
    <border>
      <left style="thin">
        <color auto="1"/>
      </left>
      <right/>
      <top style="medium">
        <color auto="1"/>
      </top>
      <bottom style="thin">
        <color indexed="64"/>
      </bottom>
      <diagonal/>
    </border>
    <border>
      <left/>
      <right style="thin">
        <color auto="1"/>
      </right>
      <top style="thin">
        <color rgb="FF000000"/>
      </top>
      <bottom/>
      <diagonal/>
    </border>
  </borders>
  <cellStyleXfs count="3">
    <xf numFmtId="0" fontId="0" fillId="0" borderId="0"/>
    <xf numFmtId="0" fontId="1" fillId="0" borderId="0"/>
    <xf numFmtId="0" fontId="13" fillId="0" borderId="0"/>
  </cellStyleXfs>
  <cellXfs count="413">
    <xf numFmtId="0" fontId="0" fillId="0" borderId="0" xfId="0"/>
    <xf numFmtId="0" fontId="0" fillId="0" borderId="0" xfId="0" applyAlignment="1">
      <alignment horizontal="center"/>
    </xf>
    <xf numFmtId="166" fontId="0" fillId="0" borderId="0" xfId="0" applyNumberFormat="1" applyAlignment="1">
      <alignment horizontal="center"/>
    </xf>
    <xf numFmtId="0" fontId="0" fillId="0" borderId="0" xfId="0" applyAlignment="1">
      <alignment horizontal="left"/>
    </xf>
    <xf numFmtId="168" fontId="0" fillId="0" borderId="0" xfId="0" applyNumberFormat="1" applyAlignment="1">
      <alignment horizontal="center"/>
    </xf>
    <xf numFmtId="0" fontId="0" fillId="3" borderId="0" xfId="0" applyFill="1"/>
    <xf numFmtId="0" fontId="0" fillId="3" borderId="0" xfId="0" applyFill="1" applyAlignment="1">
      <alignment horizontal="center"/>
    </xf>
    <xf numFmtId="168" fontId="0" fillId="0" borderId="0" xfId="0" applyNumberFormat="1"/>
    <xf numFmtId="1" fontId="0" fillId="0" borderId="0" xfId="0" applyNumberFormat="1" applyAlignment="1">
      <alignment horizontal="center"/>
    </xf>
    <xf numFmtId="165" fontId="7" fillId="0" borderId="0" xfId="1" applyNumberFormat="1" applyFont="1" applyAlignment="1" applyProtection="1">
      <alignment horizontal="center" vertical="center"/>
      <protection locked="0"/>
    </xf>
    <xf numFmtId="0" fontId="2" fillId="2" borderId="0" xfId="1" applyFont="1" applyFill="1" applyAlignment="1" applyProtection="1">
      <alignment horizontal="center" vertical="center"/>
      <protection hidden="1"/>
    </xf>
    <xf numFmtId="0" fontId="2" fillId="2" borderId="0" xfId="1" applyFont="1" applyFill="1" applyAlignment="1" applyProtection="1">
      <alignment vertical="center"/>
      <protection hidden="1"/>
    </xf>
    <xf numFmtId="0" fontId="2" fillId="0" borderId="0" xfId="1" applyFont="1" applyAlignment="1" applyProtection="1">
      <alignment vertical="center"/>
      <protection hidden="1"/>
    </xf>
    <xf numFmtId="0" fontId="4" fillId="0" borderId="5" xfId="1" applyFont="1" applyBorder="1" applyAlignment="1" applyProtection="1">
      <alignment horizontal="left" vertical="center"/>
      <protection hidden="1"/>
    </xf>
    <xf numFmtId="0" fontId="2" fillId="0" borderId="0" xfId="1" applyFont="1" applyAlignment="1" applyProtection="1">
      <alignment horizontal="center" vertical="center"/>
      <protection hidden="1"/>
    </xf>
    <xf numFmtId="0" fontId="2" fillId="3" borderId="0" xfId="1" applyFont="1" applyFill="1" applyAlignment="1" applyProtection="1">
      <alignment vertical="center"/>
      <protection hidden="1"/>
    </xf>
    <xf numFmtId="0" fontId="4" fillId="0" borderId="0" xfId="1" applyFont="1" applyAlignment="1" applyProtection="1">
      <alignment horizontal="left" vertical="center"/>
      <protection hidden="1"/>
    </xf>
    <xf numFmtId="0" fontId="6" fillId="0" borderId="0" xfId="1" applyFont="1" applyAlignment="1" applyProtection="1">
      <alignment horizontal="center" vertical="center"/>
      <protection hidden="1"/>
    </xf>
    <xf numFmtId="0" fontId="6" fillId="0" borderId="0" xfId="1" applyFont="1" applyAlignment="1" applyProtection="1">
      <alignment vertical="center"/>
      <protection hidden="1"/>
    </xf>
    <xf numFmtId="0" fontId="5" fillId="0" borderId="0" xfId="1" applyFont="1" applyAlignment="1" applyProtection="1">
      <alignment horizontal="center" vertical="center"/>
      <protection hidden="1"/>
    </xf>
    <xf numFmtId="0" fontId="4" fillId="0" borderId="0" xfId="1" applyFont="1" applyAlignment="1" applyProtection="1">
      <alignment horizontal="right" vertical="center"/>
      <protection hidden="1"/>
    </xf>
    <xf numFmtId="165" fontId="4" fillId="0" borderId="0" xfId="1" applyNumberFormat="1" applyFont="1" applyAlignment="1" applyProtection="1">
      <alignment horizontal="center" vertical="center"/>
      <protection hidden="1"/>
    </xf>
    <xf numFmtId="0" fontId="2" fillId="0" borderId="12" xfId="1" applyFont="1" applyBorder="1" applyAlignment="1" applyProtection="1">
      <alignment horizontal="center" vertical="center"/>
      <protection hidden="1"/>
    </xf>
    <xf numFmtId="0" fontId="2" fillId="0" borderId="18" xfId="1" applyFont="1" applyBorder="1" applyAlignment="1" applyProtection="1">
      <alignment vertical="center"/>
      <protection hidden="1"/>
    </xf>
    <xf numFmtId="0" fontId="4" fillId="0" borderId="20" xfId="1" applyFont="1" applyBorder="1" applyAlignment="1" applyProtection="1">
      <alignment horizontal="center" vertical="center"/>
      <protection hidden="1"/>
    </xf>
    <xf numFmtId="0" fontId="2" fillId="4" borderId="1" xfId="1" applyFont="1" applyFill="1" applyBorder="1" applyAlignment="1" applyProtection="1">
      <alignment horizontal="center" vertical="center" wrapText="1"/>
      <protection hidden="1"/>
    </xf>
    <xf numFmtId="0" fontId="8" fillId="0" borderId="22" xfId="1" applyFont="1" applyBorder="1" applyAlignment="1" applyProtection="1">
      <alignment horizontal="center" vertical="center" wrapText="1"/>
      <protection hidden="1"/>
    </xf>
    <xf numFmtId="0" fontId="2" fillId="3" borderId="17" xfId="1" applyFont="1" applyFill="1" applyBorder="1" applyAlignment="1" applyProtection="1">
      <alignment vertical="center"/>
      <protection hidden="1"/>
    </xf>
    <xf numFmtId="165" fontId="2" fillId="0" borderId="12" xfId="1" applyNumberFormat="1" applyFont="1" applyBorder="1" applyAlignment="1" applyProtection="1">
      <alignment horizontal="center" vertical="center"/>
      <protection hidden="1"/>
    </xf>
    <xf numFmtId="165" fontId="2" fillId="0" borderId="0" xfId="1" applyNumberFormat="1" applyFont="1" applyAlignment="1" applyProtection="1">
      <alignment horizontal="center" vertical="center"/>
      <protection hidden="1"/>
    </xf>
    <xf numFmtId="165" fontId="7" fillId="0" borderId="0" xfId="1" applyNumberFormat="1" applyFont="1" applyAlignment="1" applyProtection="1">
      <alignment horizontal="center" vertical="center"/>
      <protection hidden="1"/>
    </xf>
    <xf numFmtId="0" fontId="2" fillId="0" borderId="21" xfId="1" applyFont="1" applyBorder="1" applyAlignment="1" applyProtection="1">
      <alignment horizontal="center" vertical="center"/>
      <protection hidden="1"/>
    </xf>
    <xf numFmtId="167" fontId="2" fillId="0" borderId="17" xfId="1" applyNumberFormat="1" applyFont="1" applyBorder="1" applyAlignment="1" applyProtection="1">
      <alignment vertical="center"/>
      <protection hidden="1"/>
    </xf>
    <xf numFmtId="165" fontId="2" fillId="0" borderId="23" xfId="1" applyNumberFormat="1" applyFont="1" applyBorder="1" applyAlignment="1" applyProtection="1">
      <alignment horizontal="center" vertical="center"/>
      <protection hidden="1"/>
    </xf>
    <xf numFmtId="165" fontId="2" fillId="0" borderId="1" xfId="1" applyNumberFormat="1" applyFont="1" applyBorder="1" applyAlignment="1" applyProtection="1">
      <alignment horizontal="center" vertical="center"/>
      <protection hidden="1"/>
    </xf>
    <xf numFmtId="165" fontId="2" fillId="5" borderId="0" xfId="1" applyNumberFormat="1" applyFont="1" applyFill="1" applyAlignment="1" applyProtection="1">
      <alignment horizontal="center" vertical="center"/>
      <protection hidden="1"/>
    </xf>
    <xf numFmtId="0" fontId="2" fillId="5" borderId="0" xfId="1" applyFont="1" applyFill="1" applyAlignment="1" applyProtection="1">
      <alignment horizontal="center" vertical="center"/>
      <protection hidden="1"/>
    </xf>
    <xf numFmtId="0" fontId="2" fillId="5" borderId="0" xfId="1" applyFont="1" applyFill="1" applyAlignment="1" applyProtection="1">
      <alignment vertical="center"/>
      <protection hidden="1"/>
    </xf>
    <xf numFmtId="0" fontId="2" fillId="0" borderId="4" xfId="1" applyFont="1" applyBorder="1" applyAlignment="1" applyProtection="1">
      <alignment vertical="center"/>
      <protection locked="0"/>
    </xf>
    <xf numFmtId="165" fontId="2" fillId="0" borderId="0" xfId="1" applyNumberFormat="1" applyFont="1" applyAlignment="1" applyProtection="1">
      <alignment horizontal="center" vertical="center"/>
      <protection locked="0"/>
    </xf>
    <xf numFmtId="0" fontId="2" fillId="0" borderId="0" xfId="1" applyFont="1" applyAlignment="1" applyProtection="1">
      <alignment horizontal="center" vertical="center"/>
      <protection locked="0"/>
    </xf>
    <xf numFmtId="0" fontId="10" fillId="0" borderId="0" xfId="1" applyFont="1" applyAlignment="1" applyProtection="1">
      <alignment horizontal="left" vertical="center"/>
      <protection hidden="1"/>
    </xf>
    <xf numFmtId="166" fontId="6" fillId="0" borderId="0" xfId="1" applyNumberFormat="1" applyFont="1" applyAlignment="1" applyProtection="1">
      <alignment vertical="center"/>
      <protection hidden="1"/>
    </xf>
    <xf numFmtId="0" fontId="4" fillId="0" borderId="0" xfId="1" applyFont="1" applyAlignment="1" applyProtection="1">
      <alignment horizontal="centerContinuous" vertical="center"/>
      <protection hidden="1"/>
    </xf>
    <xf numFmtId="0" fontId="4" fillId="0" borderId="17" xfId="1" applyFont="1" applyBorder="1" applyAlignment="1" applyProtection="1">
      <alignment horizontal="centerContinuous" vertical="center"/>
      <protection hidden="1"/>
    </xf>
    <xf numFmtId="0" fontId="0" fillId="6" borderId="0" xfId="0" applyFill="1"/>
    <xf numFmtId="0" fontId="0" fillId="7" borderId="0" xfId="0" applyFill="1"/>
    <xf numFmtId="164" fontId="0" fillId="7" borderId="0" xfId="0" quotePrefix="1" applyNumberFormat="1" applyFill="1"/>
    <xf numFmtId="0" fontId="0" fillId="8" borderId="0" xfId="0" applyFill="1"/>
    <xf numFmtId="0" fontId="0" fillId="8" borderId="0" xfId="0" quotePrefix="1" applyFill="1"/>
    <xf numFmtId="0" fontId="0" fillId="9" borderId="0" xfId="0" applyFill="1"/>
    <xf numFmtId="0" fontId="0" fillId="9" borderId="0" xfId="0" quotePrefix="1" applyFill="1"/>
    <xf numFmtId="164" fontId="0" fillId="9" borderId="0" xfId="0" quotePrefix="1" applyNumberFormat="1" applyFill="1"/>
    <xf numFmtId="0" fontId="2" fillId="3" borderId="24" xfId="1" applyFont="1" applyFill="1" applyBorder="1" applyAlignment="1" applyProtection="1">
      <alignment vertical="center"/>
      <protection hidden="1"/>
    </xf>
    <xf numFmtId="0" fontId="2" fillId="3" borderId="14" xfId="1" applyFont="1" applyFill="1" applyBorder="1" applyAlignment="1" applyProtection="1">
      <alignment vertical="center"/>
      <protection hidden="1"/>
    </xf>
    <xf numFmtId="0" fontId="11" fillId="3" borderId="14" xfId="1" applyFont="1" applyFill="1" applyBorder="1" applyAlignment="1" applyProtection="1">
      <alignment horizontal="right" vertical="center"/>
      <protection hidden="1"/>
    </xf>
    <xf numFmtId="0" fontId="2" fillId="3" borderId="25" xfId="1" applyFont="1" applyFill="1" applyBorder="1" applyAlignment="1" applyProtection="1">
      <alignment vertical="center"/>
      <protection hidden="1"/>
    </xf>
    <xf numFmtId="0" fontId="11" fillId="3" borderId="0" xfId="1" applyFont="1" applyFill="1" applyAlignment="1" applyProtection="1">
      <alignment horizontal="right" vertical="center"/>
      <protection hidden="1"/>
    </xf>
    <xf numFmtId="0" fontId="11" fillId="3" borderId="0" xfId="1" applyFont="1" applyFill="1" applyAlignment="1" applyProtection="1">
      <alignment horizontal="center" vertical="center"/>
      <protection hidden="1"/>
    </xf>
    <xf numFmtId="0" fontId="2" fillId="0" borderId="26" xfId="1" applyFont="1" applyBorder="1" applyAlignment="1" applyProtection="1">
      <alignment horizontal="center" vertical="center"/>
      <protection locked="0"/>
    </xf>
    <xf numFmtId="0" fontId="2" fillId="0" borderId="0" xfId="1" applyFont="1" applyAlignment="1" applyProtection="1">
      <alignment horizontal="right" vertical="center"/>
      <protection hidden="1"/>
    </xf>
    <xf numFmtId="167" fontId="2" fillId="0" borderId="0" xfId="1" applyNumberFormat="1" applyFont="1" applyAlignment="1" applyProtection="1">
      <alignment vertical="center"/>
      <protection hidden="1"/>
    </xf>
    <xf numFmtId="167" fontId="4" fillId="0" borderId="0" xfId="1" applyNumberFormat="1" applyFont="1" applyAlignment="1" applyProtection="1">
      <alignment vertical="center"/>
      <protection hidden="1"/>
    </xf>
    <xf numFmtId="0" fontId="12" fillId="0" borderId="0" xfId="0" applyFont="1"/>
    <xf numFmtId="0" fontId="2" fillId="0" borderId="0" xfId="1" applyFont="1" applyAlignment="1" applyProtection="1">
      <alignment vertical="center"/>
      <protection locked="0" hidden="1"/>
    </xf>
    <xf numFmtId="0" fontId="14" fillId="0" borderId="0" xfId="2" applyFont="1" applyAlignment="1" applyProtection="1">
      <alignment horizontal="left" vertical="top"/>
      <protection hidden="1"/>
    </xf>
    <xf numFmtId="0" fontId="13" fillId="0" borderId="0" xfId="2" applyAlignment="1" applyProtection="1">
      <alignment horizontal="left" vertical="top"/>
      <protection hidden="1"/>
    </xf>
    <xf numFmtId="0" fontId="15" fillId="0" borderId="0" xfId="2" applyFont="1" applyAlignment="1" applyProtection="1">
      <alignment horizontal="left" vertical="top"/>
      <protection hidden="1"/>
    </xf>
    <xf numFmtId="0" fontId="13" fillId="0" borderId="27" xfId="2" applyBorder="1" applyAlignment="1" applyProtection="1">
      <alignment horizontal="left" vertical="top"/>
      <protection hidden="1"/>
    </xf>
    <xf numFmtId="0" fontId="16" fillId="0" borderId="27" xfId="2" applyFont="1" applyBorder="1" applyAlignment="1" applyProtection="1">
      <alignment horizontal="left" vertical="center" wrapText="1"/>
      <protection hidden="1"/>
    </xf>
    <xf numFmtId="0" fontId="14" fillId="0" borderId="33" xfId="2" applyFont="1" applyBorder="1" applyAlignment="1" applyProtection="1">
      <alignment vertical="center" wrapText="1"/>
      <protection hidden="1"/>
    </xf>
    <xf numFmtId="0" fontId="16" fillId="0" borderId="28" xfId="2" applyFont="1" applyBorder="1" applyAlignment="1" applyProtection="1">
      <alignment horizontal="left" vertical="center" wrapText="1"/>
      <protection hidden="1"/>
    </xf>
    <xf numFmtId="0" fontId="14" fillId="0" borderId="34" xfId="2" applyFont="1" applyBorder="1" applyAlignment="1" applyProtection="1">
      <alignment wrapText="1"/>
      <protection hidden="1"/>
    </xf>
    <xf numFmtId="0" fontId="14" fillId="0" borderId="0" xfId="2" applyFont="1" applyAlignment="1" applyProtection="1">
      <alignment vertical="top" wrapText="1"/>
      <protection hidden="1"/>
    </xf>
    <xf numFmtId="0" fontId="14" fillId="0" borderId="35" xfId="2" applyFont="1" applyBorder="1" applyAlignment="1" applyProtection="1">
      <alignment vertical="top" wrapText="1"/>
      <protection hidden="1"/>
    </xf>
    <xf numFmtId="0" fontId="13" fillId="0" borderId="0" xfId="2" applyAlignment="1" applyProtection="1">
      <alignment horizontal="left" vertical="top" wrapText="1"/>
      <protection hidden="1"/>
    </xf>
    <xf numFmtId="0" fontId="17" fillId="0" borderId="0" xfId="2" applyFont="1" applyAlignment="1" applyProtection="1">
      <alignment horizontal="left" vertical="top"/>
      <protection hidden="1"/>
    </xf>
    <xf numFmtId="0" fontId="18" fillId="0" borderId="0" xfId="2" applyFont="1" applyAlignment="1" applyProtection="1">
      <alignment horizontal="left" vertical="top"/>
      <protection hidden="1"/>
    </xf>
    <xf numFmtId="0" fontId="18" fillId="0" borderId="0" xfId="2"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protection hidden="1"/>
    </xf>
    <xf numFmtId="0" fontId="13" fillId="0" borderId="0" xfId="2" applyAlignment="1" applyProtection="1">
      <alignment horizontal="left" wrapText="1"/>
      <protection hidden="1"/>
    </xf>
    <xf numFmtId="0" fontId="21" fillId="0" borderId="0" xfId="2" applyFont="1" applyAlignment="1" applyProtection="1">
      <alignment horizontal="left" vertical="top"/>
      <protection hidden="1"/>
    </xf>
    <xf numFmtId="0" fontId="22" fillId="0" borderId="0" xfId="2" applyFont="1" applyAlignment="1" applyProtection="1">
      <alignment horizontal="left" vertical="center"/>
      <protection hidden="1"/>
    </xf>
    <xf numFmtId="0" fontId="17" fillId="0" borderId="0" xfId="2" applyFont="1" applyAlignment="1" applyProtection="1">
      <alignment horizontal="right"/>
      <protection hidden="1"/>
    </xf>
    <xf numFmtId="0" fontId="2" fillId="3" borderId="3" xfId="1" applyFont="1" applyFill="1" applyBorder="1" applyAlignment="1" applyProtection="1">
      <alignment vertical="center"/>
      <protection hidden="1"/>
    </xf>
    <xf numFmtId="0" fontId="4" fillId="3" borderId="3" xfId="1" applyFont="1" applyFill="1" applyBorder="1" applyAlignment="1" applyProtection="1">
      <alignment horizontal="right" vertical="center"/>
      <protection hidden="1"/>
    </xf>
    <xf numFmtId="0" fontId="2" fillId="0" borderId="41" xfId="1" applyFont="1" applyBorder="1" applyAlignment="1" applyProtection="1">
      <alignment horizontal="center" vertical="center"/>
      <protection hidden="1"/>
    </xf>
    <xf numFmtId="0" fontId="27" fillId="0" borderId="0" xfId="1" applyFont="1" applyAlignment="1" applyProtection="1">
      <alignment horizontal="center" vertical="center"/>
      <protection hidden="1"/>
    </xf>
    <xf numFmtId="0" fontId="2" fillId="0" borderId="0" xfId="1" quotePrefix="1" applyFont="1" applyAlignment="1" applyProtection="1">
      <alignment vertical="center"/>
      <protection hidden="1"/>
    </xf>
    <xf numFmtId="167" fontId="27" fillId="0" borderId="0" xfId="1" applyNumberFormat="1" applyFont="1" applyAlignment="1" applyProtection="1">
      <alignment vertical="center"/>
      <protection hidden="1"/>
    </xf>
    <xf numFmtId="0" fontId="27" fillId="0" borderId="0" xfId="1" applyFont="1" applyAlignment="1" applyProtection="1">
      <alignment vertical="center"/>
      <protection hidden="1"/>
    </xf>
    <xf numFmtId="0" fontId="28" fillId="0" borderId="0" xfId="1" applyFont="1" applyAlignment="1" applyProtection="1">
      <alignment vertical="center"/>
      <protection hidden="1"/>
    </xf>
    <xf numFmtId="45" fontId="27" fillId="0" borderId="0" xfId="1" applyNumberFormat="1" applyFont="1" applyAlignment="1" applyProtection="1">
      <alignment vertical="center"/>
      <protection hidden="1"/>
    </xf>
    <xf numFmtId="166" fontId="27" fillId="0" borderId="0" xfId="1" applyNumberFormat="1" applyFont="1" applyAlignment="1" applyProtection="1">
      <alignment vertical="center"/>
      <protection hidden="1"/>
    </xf>
    <xf numFmtId="1" fontId="27" fillId="0" borderId="0" xfId="1" applyNumberFormat="1" applyFont="1" applyAlignment="1" applyProtection="1">
      <alignment vertical="center"/>
      <protection hidden="1"/>
    </xf>
    <xf numFmtId="167" fontId="29" fillId="0" borderId="0" xfId="1" applyNumberFormat="1" applyFont="1" applyAlignment="1" applyProtection="1">
      <alignment horizontal="center" vertical="center"/>
      <protection hidden="1"/>
    </xf>
    <xf numFmtId="166" fontId="25" fillId="0" borderId="0" xfId="0" applyNumberFormat="1" applyFont="1" applyAlignment="1" applyProtection="1">
      <alignment horizontal="center"/>
      <protection hidden="1"/>
    </xf>
    <xf numFmtId="0" fontId="30" fillId="0" borderId="0" xfId="1" applyFont="1" applyAlignment="1" applyProtection="1">
      <alignment horizontal="center" vertical="center"/>
      <protection hidden="1"/>
    </xf>
    <xf numFmtId="0" fontId="26" fillId="0" borderId="0" xfId="1" applyFont="1" applyAlignment="1" applyProtection="1">
      <alignment horizontal="center" vertical="center"/>
      <protection hidden="1"/>
    </xf>
    <xf numFmtId="166" fontId="27" fillId="0" borderId="0" xfId="1" applyNumberFormat="1" applyFont="1" applyAlignment="1" applyProtection="1">
      <alignment horizontal="center" vertical="center"/>
      <protection hidden="1"/>
    </xf>
    <xf numFmtId="167" fontId="26" fillId="0" borderId="0" xfId="1" applyNumberFormat="1" applyFont="1" applyAlignment="1" applyProtection="1">
      <alignment vertical="center"/>
      <protection hidden="1"/>
    </xf>
    <xf numFmtId="45" fontId="27" fillId="0" borderId="0" xfId="1" applyNumberFormat="1" applyFont="1" applyAlignment="1" applyProtection="1">
      <alignment horizontal="center" vertical="center"/>
      <protection hidden="1"/>
    </xf>
    <xf numFmtId="0" fontId="27" fillId="5" borderId="0" xfId="1" applyFont="1" applyFill="1" applyAlignment="1" applyProtection="1">
      <alignment vertical="center"/>
      <protection hidden="1"/>
    </xf>
    <xf numFmtId="0" fontId="31" fillId="0" borderId="0" xfId="0" applyFont="1"/>
    <xf numFmtId="0" fontId="7" fillId="0" borderId="0" xfId="1" applyFont="1" applyAlignment="1" applyProtection="1">
      <alignment horizontal="center" vertical="center"/>
      <protection hidden="1"/>
    </xf>
    <xf numFmtId="0" fontId="7" fillId="0" borderId="0" xfId="1" applyFont="1" applyAlignment="1" applyProtection="1">
      <alignment vertical="center"/>
      <protection hidden="1"/>
    </xf>
    <xf numFmtId="0" fontId="0" fillId="7" borderId="0" xfId="0" applyFill="1" applyAlignment="1">
      <alignment horizontal="left"/>
    </xf>
    <xf numFmtId="0" fontId="19" fillId="0" borderId="39" xfId="2" applyFont="1" applyBorder="1" applyAlignment="1" applyProtection="1">
      <alignment horizontal="center" vertical="center" wrapText="1"/>
      <protection hidden="1"/>
    </xf>
    <xf numFmtId="0" fontId="4" fillId="0" borderId="0" xfId="1" applyFont="1" applyAlignment="1" applyProtection="1">
      <alignment horizontal="center" vertical="center" shrinkToFit="1"/>
      <protection locked="0"/>
    </xf>
    <xf numFmtId="0" fontId="34" fillId="0" borderId="0" xfId="0" applyFont="1"/>
    <xf numFmtId="0" fontId="27" fillId="0" borderId="0" xfId="1" applyFont="1" applyAlignment="1" applyProtection="1">
      <alignment horizontal="left" vertical="center"/>
      <protection hidden="1"/>
    </xf>
    <xf numFmtId="164" fontId="4" fillId="0" borderId="0" xfId="1" applyNumberFormat="1" applyFont="1" applyAlignment="1" applyProtection="1">
      <alignment horizontal="center" vertical="center" shrinkToFit="1"/>
      <protection locked="0"/>
    </xf>
    <xf numFmtId="0" fontId="4" fillId="0" borderId="0" xfId="1" quotePrefix="1" applyFont="1" applyAlignment="1" applyProtection="1">
      <alignment horizontal="center" vertical="center" shrinkToFit="1"/>
      <protection locked="0"/>
    </xf>
    <xf numFmtId="0" fontId="28" fillId="0" borderId="0" xfId="1" applyFont="1" applyAlignment="1" applyProtection="1">
      <alignment horizontal="left" vertical="center"/>
      <protection hidden="1"/>
    </xf>
    <xf numFmtId="167" fontId="2" fillId="2" borderId="0" xfId="1" applyNumberFormat="1" applyFont="1" applyFill="1" applyAlignment="1" applyProtection="1">
      <alignment vertical="center"/>
      <protection hidden="1"/>
    </xf>
    <xf numFmtId="14" fontId="2" fillId="0" borderId="0" xfId="1" applyNumberFormat="1" applyFont="1" applyAlignment="1" applyProtection="1">
      <alignment horizontal="centerContinuous" vertical="center"/>
      <protection hidden="1"/>
    </xf>
    <xf numFmtId="0" fontId="2" fillId="0" borderId="0" xfId="1" applyFont="1" applyAlignment="1" applyProtection="1">
      <alignment horizontal="centerContinuous" vertical="center"/>
      <protection hidden="1"/>
    </xf>
    <xf numFmtId="0" fontId="6" fillId="2" borderId="0" xfId="1" applyFont="1" applyFill="1" applyAlignment="1" applyProtection="1">
      <alignment vertical="center"/>
      <protection locked="0"/>
    </xf>
    <xf numFmtId="0" fontId="2" fillId="0" borderId="0" xfId="1" applyFont="1" applyAlignment="1" applyProtection="1">
      <alignment horizontal="left" vertical="center"/>
      <protection hidden="1"/>
    </xf>
    <xf numFmtId="167" fontId="27" fillId="12" borderId="0" xfId="1" applyNumberFormat="1" applyFont="1" applyFill="1" applyAlignment="1" applyProtection="1">
      <alignment vertical="center"/>
      <protection hidden="1"/>
    </xf>
    <xf numFmtId="0" fontId="28" fillId="12" borderId="0" xfId="1" applyFont="1" applyFill="1" applyAlignment="1" applyProtection="1">
      <alignment horizontal="left" vertical="center"/>
      <protection hidden="1"/>
    </xf>
    <xf numFmtId="0" fontId="27" fillId="12" borderId="0" xfId="1" applyFont="1" applyFill="1" applyAlignment="1" applyProtection="1">
      <alignment vertical="center"/>
      <protection hidden="1"/>
    </xf>
    <xf numFmtId="0" fontId="27" fillId="12" borderId="0" xfId="1" applyFont="1" applyFill="1" applyAlignment="1" applyProtection="1">
      <alignment horizontal="center" vertical="center"/>
      <protection hidden="1"/>
    </xf>
    <xf numFmtId="0" fontId="2" fillId="12" borderId="0" xfId="1" applyFont="1" applyFill="1" applyAlignment="1" applyProtection="1">
      <alignment vertical="center"/>
      <protection hidden="1"/>
    </xf>
    <xf numFmtId="0" fontId="36" fillId="0" borderId="0" xfId="2" applyFont="1" applyAlignment="1" applyProtection="1">
      <alignment horizontal="left" vertical="top"/>
      <protection hidden="1"/>
    </xf>
    <xf numFmtId="0" fontId="37" fillId="0" borderId="0" xfId="2" applyFont="1" applyAlignment="1" applyProtection="1">
      <alignment horizontal="left" vertical="top"/>
      <protection hidden="1"/>
    </xf>
    <xf numFmtId="0" fontId="37" fillId="0" borderId="0" xfId="2" applyFont="1" applyAlignment="1" applyProtection="1">
      <alignment horizontal="left"/>
      <protection hidden="1"/>
    </xf>
    <xf numFmtId="0" fontId="38" fillId="0" borderId="0" xfId="2" applyFont="1" applyAlignment="1" applyProtection="1">
      <alignment horizontal="left" vertical="top"/>
      <protection hidden="1"/>
    </xf>
    <xf numFmtId="0" fontId="19" fillId="0" borderId="47" xfId="2" applyFont="1" applyBorder="1" applyAlignment="1" applyProtection="1">
      <alignment horizontal="center" vertical="center" wrapText="1"/>
      <protection hidden="1"/>
    </xf>
    <xf numFmtId="0" fontId="19" fillId="0" borderId="31" xfId="2" applyFont="1" applyBorder="1" applyAlignment="1" applyProtection="1">
      <alignment horizontal="center" vertical="center" shrinkToFit="1"/>
      <protection hidden="1"/>
    </xf>
    <xf numFmtId="0" fontId="25" fillId="0" borderId="0" xfId="0" applyFont="1"/>
    <xf numFmtId="2" fontId="0" fillId="0" borderId="0" xfId="0" applyNumberFormat="1"/>
    <xf numFmtId="0" fontId="42" fillId="0" borderId="0" xfId="0" applyFont="1"/>
    <xf numFmtId="0" fontId="12" fillId="13" borderId="0" xfId="0" applyFont="1" applyFill="1"/>
    <xf numFmtId="0" fontId="4" fillId="14" borderId="41" xfId="0" applyFont="1" applyFill="1" applyBorder="1" applyAlignment="1">
      <alignment horizontal="center"/>
    </xf>
    <xf numFmtId="0" fontId="12" fillId="13" borderId="41" xfId="0" applyFont="1" applyFill="1" applyBorder="1"/>
    <xf numFmtId="167" fontId="8" fillId="13" borderId="41" xfId="0" applyNumberFormat="1" applyFont="1" applyFill="1" applyBorder="1"/>
    <xf numFmtId="167" fontId="12" fillId="13" borderId="41" xfId="0" applyNumberFormat="1" applyFont="1" applyFill="1" applyBorder="1"/>
    <xf numFmtId="0" fontId="8" fillId="13" borderId="41" xfId="0" applyFont="1" applyFill="1" applyBorder="1" applyAlignment="1">
      <alignment horizontal="center"/>
    </xf>
    <xf numFmtId="167" fontId="44" fillId="13" borderId="41" xfId="0" applyNumberFormat="1" applyFont="1" applyFill="1" applyBorder="1" applyAlignment="1">
      <alignment horizontal="center"/>
    </xf>
    <xf numFmtId="0" fontId="4" fillId="14" borderId="41" xfId="0" applyFont="1" applyFill="1" applyBorder="1" applyAlignment="1">
      <alignment horizontal="center" wrapText="1"/>
    </xf>
    <xf numFmtId="0" fontId="0" fillId="0" borderId="41" xfId="0" applyBorder="1"/>
    <xf numFmtId="2" fontId="0" fillId="0" borderId="41" xfId="0" applyNumberFormat="1" applyBorder="1"/>
    <xf numFmtId="0" fontId="44" fillId="13" borderId="41" xfId="0" applyFont="1" applyFill="1" applyBorder="1" applyAlignment="1">
      <alignment horizontal="left"/>
    </xf>
    <xf numFmtId="0" fontId="12" fillId="13" borderId="41" xfId="0" applyFont="1" applyFill="1" applyBorder="1" applyAlignment="1">
      <alignment horizontal="left"/>
    </xf>
    <xf numFmtId="0" fontId="8" fillId="13" borderId="41" xfId="0" applyFont="1" applyFill="1" applyBorder="1" applyAlignment="1">
      <alignment horizontal="left"/>
    </xf>
    <xf numFmtId="0" fontId="4" fillId="14" borderId="41" xfId="0" applyFont="1" applyFill="1" applyBorder="1" applyAlignment="1">
      <alignment horizontal="left" wrapText="1"/>
    </xf>
    <xf numFmtId="167" fontId="8" fillId="13" borderId="41" xfId="0" applyNumberFormat="1" applyFont="1" applyFill="1" applyBorder="1" applyAlignment="1">
      <alignment horizontal="left"/>
    </xf>
    <xf numFmtId="167" fontId="44" fillId="13" borderId="41" xfId="0" applyNumberFormat="1" applyFont="1" applyFill="1" applyBorder="1" applyAlignment="1">
      <alignment horizontal="left"/>
    </xf>
    <xf numFmtId="0" fontId="12" fillId="13" borderId="0" xfId="0" applyFont="1" applyFill="1" applyAlignment="1">
      <alignment horizontal="center"/>
    </xf>
    <xf numFmtId="2" fontId="0" fillId="0" borderId="0" xfId="0" applyNumberFormat="1" applyAlignment="1">
      <alignment horizontal="center"/>
    </xf>
    <xf numFmtId="0" fontId="5" fillId="0" borderId="0" xfId="1" applyFont="1" applyAlignment="1" applyProtection="1">
      <alignment horizontal="center" vertical="center" shrinkToFit="1"/>
      <protection hidden="1"/>
    </xf>
    <xf numFmtId="0" fontId="2" fillId="4" borderId="0" xfId="1" applyFont="1" applyFill="1" applyAlignment="1" applyProtection="1">
      <alignment horizontal="center" vertical="center"/>
      <protection hidden="1"/>
    </xf>
    <xf numFmtId="0" fontId="27" fillId="0" borderId="41" xfId="1" applyFont="1" applyBorder="1" applyAlignment="1" applyProtection="1">
      <alignment horizontal="center" vertical="center"/>
      <protection hidden="1"/>
    </xf>
    <xf numFmtId="1" fontId="27" fillId="0" borderId="41" xfId="1" applyNumberFormat="1" applyFont="1" applyBorder="1" applyAlignment="1" applyProtection="1">
      <alignment horizontal="left" vertical="center"/>
      <protection hidden="1"/>
    </xf>
    <xf numFmtId="0" fontId="27" fillId="5" borderId="0" xfId="1" applyFont="1" applyFill="1" applyAlignment="1" applyProtection="1">
      <alignment horizontal="center" vertical="center"/>
      <protection hidden="1"/>
    </xf>
    <xf numFmtId="0" fontId="3" fillId="2" borderId="0" xfId="1" applyFont="1" applyFill="1" applyAlignment="1" applyProtection="1">
      <alignment horizontal="center" vertical="center"/>
      <protection hidden="1"/>
    </xf>
    <xf numFmtId="0" fontId="4" fillId="0" borderId="21" xfId="1" quotePrefix="1" applyFont="1" applyBorder="1" applyAlignment="1" applyProtection="1">
      <alignment horizontal="center" vertical="center" shrinkToFit="1"/>
      <protection locked="0"/>
    </xf>
    <xf numFmtId="0" fontId="27" fillId="0" borderId="41" xfId="1" applyFont="1" applyBorder="1" applyAlignment="1" applyProtection="1">
      <alignment vertical="center"/>
      <protection hidden="1"/>
    </xf>
    <xf numFmtId="169" fontId="4" fillId="0" borderId="0" xfId="1" applyNumberFormat="1" applyFont="1" applyAlignment="1" applyProtection="1">
      <alignment horizontal="center" vertical="center"/>
      <protection hidden="1"/>
    </xf>
    <xf numFmtId="0" fontId="27" fillId="0" borderId="41" xfId="1" applyFont="1" applyBorder="1" applyAlignment="1" applyProtection="1">
      <alignment horizontal="center" vertical="center" wrapText="1"/>
      <protection hidden="1"/>
    </xf>
    <xf numFmtId="168" fontId="27" fillId="0" borderId="41" xfId="1" applyNumberFormat="1" applyFont="1" applyBorder="1" applyAlignment="1" applyProtection="1">
      <alignment horizontal="center" vertical="center"/>
      <protection hidden="1"/>
    </xf>
    <xf numFmtId="0" fontId="7" fillId="0" borderId="42" xfId="1" applyFont="1" applyBorder="1" applyAlignment="1" applyProtection="1">
      <alignment vertical="center"/>
      <protection hidden="1"/>
    </xf>
    <xf numFmtId="0" fontId="27" fillId="0" borderId="0" xfId="1" applyFont="1" applyAlignment="1" applyProtection="1">
      <alignment horizontal="center" vertical="center" wrapText="1"/>
      <protection hidden="1"/>
    </xf>
    <xf numFmtId="0" fontId="7" fillId="0" borderId="48" xfId="1" applyFont="1" applyBorder="1" applyAlignment="1" applyProtection="1">
      <alignment vertical="center"/>
      <protection hidden="1"/>
    </xf>
    <xf numFmtId="0" fontId="7" fillId="0" borderId="5" xfId="1" applyFont="1" applyBorder="1" applyAlignment="1" applyProtection="1">
      <alignment vertical="center"/>
      <protection hidden="1"/>
    </xf>
    <xf numFmtId="0" fontId="10" fillId="0" borderId="41" xfId="1" applyFont="1" applyBorder="1" applyAlignment="1" applyProtection="1">
      <alignment horizontal="center" vertical="center"/>
      <protection hidden="1"/>
    </xf>
    <xf numFmtId="0" fontId="2" fillId="0" borderId="49" xfId="1" applyFont="1" applyBorder="1" applyAlignment="1" applyProtection="1">
      <alignment vertical="center"/>
      <protection locked="0"/>
    </xf>
    <xf numFmtId="0" fontId="2" fillId="0" borderId="50" xfId="1" applyFont="1" applyBorder="1" applyAlignment="1" applyProtection="1">
      <alignment horizontal="center" vertical="center"/>
      <protection locked="0"/>
    </xf>
    <xf numFmtId="170" fontId="8" fillId="13" borderId="41" xfId="0" applyNumberFormat="1" applyFont="1" applyFill="1" applyBorder="1" applyAlignment="1">
      <alignment horizontal="left"/>
    </xf>
    <xf numFmtId="171" fontId="2" fillId="0" borderId="0" xfId="1" applyNumberFormat="1" applyFont="1" applyAlignment="1" applyProtection="1">
      <alignment horizontal="center" vertical="center"/>
      <protection hidden="1"/>
    </xf>
    <xf numFmtId="171" fontId="2" fillId="0" borderId="21" xfId="1" applyNumberFormat="1" applyFont="1" applyBorder="1" applyAlignment="1" applyProtection="1">
      <alignment horizontal="center" vertical="center"/>
      <protection hidden="1"/>
    </xf>
    <xf numFmtId="0" fontId="33" fillId="0" borderId="41" xfId="2" applyFont="1" applyBorder="1" applyAlignment="1" applyProtection="1">
      <alignment vertical="center" shrinkToFit="1"/>
      <protection hidden="1"/>
    </xf>
    <xf numFmtId="171" fontId="19" fillId="0" borderId="29" xfId="2" applyNumberFormat="1" applyFont="1" applyBorder="1" applyAlignment="1" applyProtection="1">
      <alignment horizontal="right" vertical="center" wrapText="1"/>
      <protection hidden="1"/>
    </xf>
    <xf numFmtId="171" fontId="19" fillId="0" borderId="39" xfId="2" applyNumberFormat="1" applyFont="1" applyBorder="1" applyAlignment="1" applyProtection="1">
      <alignment horizontal="right" vertical="center" wrapText="1"/>
      <protection hidden="1"/>
    </xf>
    <xf numFmtId="0" fontId="10" fillId="0" borderId="17" xfId="1" applyFont="1" applyBorder="1" applyAlignment="1" applyProtection="1">
      <alignment horizontal="centerContinuous" vertical="center"/>
      <protection hidden="1"/>
    </xf>
    <xf numFmtId="0" fontId="6" fillId="0" borderId="1" xfId="1" applyFont="1" applyBorder="1" applyAlignment="1" applyProtection="1">
      <alignment horizontal="center" vertical="center"/>
      <protection hidden="1"/>
    </xf>
    <xf numFmtId="0" fontId="2" fillId="0" borderId="22" xfId="1" applyFont="1" applyBorder="1" applyAlignment="1" applyProtection="1">
      <alignment horizontal="center" vertical="center"/>
      <protection hidden="1"/>
    </xf>
    <xf numFmtId="0" fontId="10" fillId="0" borderId="15" xfId="1" applyFont="1" applyBorder="1" applyAlignment="1" applyProtection="1">
      <alignment horizontal="centerContinuous" vertical="center"/>
      <protection hidden="1"/>
    </xf>
    <xf numFmtId="171" fontId="2" fillId="0" borderId="1" xfId="1" applyNumberFormat="1" applyFont="1" applyBorder="1" applyAlignment="1" applyProtection="1">
      <alignment horizontal="center" vertical="center"/>
      <protection hidden="1"/>
    </xf>
    <xf numFmtId="171" fontId="2" fillId="0" borderId="22" xfId="1" applyNumberFormat="1" applyFont="1" applyBorder="1" applyAlignment="1" applyProtection="1">
      <alignment horizontal="center" vertical="center"/>
      <protection hidden="1"/>
    </xf>
    <xf numFmtId="0" fontId="10" fillId="0" borderId="0" xfId="1" applyFont="1" applyAlignment="1" applyProtection="1">
      <alignment horizontal="centerContinuous" vertical="center" shrinkToFit="1"/>
      <protection hidden="1"/>
    </xf>
    <xf numFmtId="0" fontId="10" fillId="0" borderId="23" xfId="1" applyFont="1" applyBorder="1" applyAlignment="1" applyProtection="1">
      <alignment horizontal="centerContinuous" vertical="center" shrinkToFit="1"/>
      <protection hidden="1"/>
    </xf>
    <xf numFmtId="169" fontId="10" fillId="0" borderId="0" xfId="1" applyNumberFormat="1" applyFont="1" applyAlignment="1" applyProtection="1">
      <alignment horizontal="center" vertical="center"/>
      <protection hidden="1"/>
    </xf>
    <xf numFmtId="0" fontId="27" fillId="0" borderId="48" xfId="1" applyFont="1" applyBorder="1" applyAlignment="1" applyProtection="1">
      <alignment horizontal="center" vertical="center"/>
      <protection hidden="1"/>
    </xf>
    <xf numFmtId="0" fontId="27" fillId="0" borderId="42" xfId="1" applyFont="1" applyBorder="1" applyAlignment="1" applyProtection="1">
      <alignment horizontal="center" vertical="center"/>
      <protection hidden="1"/>
    </xf>
    <xf numFmtId="167" fontId="27" fillId="0" borderId="41" xfId="1" applyNumberFormat="1" applyFont="1" applyBorder="1" applyAlignment="1" applyProtection="1">
      <alignment vertical="center" wrapText="1"/>
      <protection hidden="1"/>
    </xf>
    <xf numFmtId="0" fontId="27" fillId="0" borderId="0" xfId="1" applyFont="1" applyAlignment="1" applyProtection="1">
      <alignment horizontal="centerContinuous" vertical="center"/>
      <protection hidden="1"/>
    </xf>
    <xf numFmtId="171" fontId="2" fillId="0" borderId="23" xfId="1" applyNumberFormat="1" applyFont="1" applyBorder="1" applyAlignment="1" applyProtection="1">
      <alignment horizontal="center" vertical="center"/>
      <protection hidden="1"/>
    </xf>
    <xf numFmtId="0" fontId="4" fillId="4" borderId="13" xfId="1" applyFont="1" applyFill="1" applyBorder="1" applyAlignment="1" applyProtection="1">
      <alignment vertical="center"/>
      <protection hidden="1"/>
    </xf>
    <xf numFmtId="0" fontId="4" fillId="4" borderId="20" xfId="1" applyFont="1" applyFill="1" applyBorder="1" applyAlignment="1" applyProtection="1">
      <alignment vertical="center"/>
      <protection hidden="1"/>
    </xf>
    <xf numFmtId="0" fontId="4" fillId="16" borderId="52" xfId="1" applyFont="1" applyFill="1" applyBorder="1" applyAlignment="1" applyProtection="1">
      <alignment vertical="center"/>
      <protection hidden="1"/>
    </xf>
    <xf numFmtId="0" fontId="4" fillId="17" borderId="52" xfId="1" applyFont="1" applyFill="1" applyBorder="1" applyAlignment="1" applyProtection="1">
      <alignment vertical="center"/>
      <protection hidden="1"/>
    </xf>
    <xf numFmtId="0" fontId="13" fillId="10" borderId="39" xfId="2" applyFill="1" applyBorder="1" applyAlignment="1" applyProtection="1">
      <alignment horizontal="left" vertical="top" wrapText="1"/>
      <protection locked="0"/>
    </xf>
    <xf numFmtId="0" fontId="0" fillId="15" borderId="0" xfId="0" applyFill="1"/>
    <xf numFmtId="0" fontId="6" fillId="0" borderId="15" xfId="1" applyFont="1" applyBorder="1" applyAlignment="1" applyProtection="1">
      <alignment horizontal="center" vertical="center"/>
      <protection hidden="1"/>
    </xf>
    <xf numFmtId="0" fontId="0" fillId="16" borderId="0" xfId="0" applyFill="1"/>
    <xf numFmtId="0" fontId="0" fillId="17" borderId="0" xfId="0" applyFill="1"/>
    <xf numFmtId="0" fontId="27" fillId="0" borderId="53" xfId="1" applyFont="1" applyBorder="1" applyAlignment="1" applyProtection="1">
      <alignment horizontal="center" vertical="center"/>
      <protection hidden="1"/>
    </xf>
    <xf numFmtId="0" fontId="27" fillId="0" borderId="5" xfId="1" applyFont="1" applyBorder="1" applyAlignment="1" applyProtection="1">
      <alignment horizontal="center" vertical="center"/>
      <protection hidden="1"/>
    </xf>
    <xf numFmtId="0" fontId="27" fillId="0" borderId="26" xfId="1" applyFont="1" applyBorder="1" applyAlignment="1" applyProtection="1">
      <alignment horizontal="center" vertical="center"/>
      <protection hidden="1"/>
    </xf>
    <xf numFmtId="0" fontId="27" fillId="0" borderId="25" xfId="1" applyFont="1" applyBorder="1" applyAlignment="1" applyProtection="1">
      <alignment horizontal="center" vertical="center"/>
      <protection hidden="1"/>
    </xf>
    <xf numFmtId="167" fontId="0" fillId="0" borderId="0" xfId="0" applyNumberFormat="1"/>
    <xf numFmtId="0" fontId="14" fillId="0" borderId="29" xfId="2" applyFont="1" applyBorder="1" applyAlignment="1" applyProtection="1">
      <alignment horizontal="center" vertical="center" wrapText="1"/>
      <protection hidden="1"/>
    </xf>
    <xf numFmtId="0" fontId="14" fillId="0" borderId="27" xfId="2" applyFont="1" applyBorder="1" applyAlignment="1" applyProtection="1">
      <alignment horizontal="left" vertical="center" wrapText="1"/>
      <protection hidden="1"/>
    </xf>
    <xf numFmtId="0" fontId="2" fillId="3" borderId="48" xfId="1" applyFont="1" applyFill="1" applyBorder="1" applyAlignment="1" applyProtection="1">
      <alignment horizontal="center" vertical="center"/>
      <protection locked="0"/>
    </xf>
    <xf numFmtId="0" fontId="2" fillId="3" borderId="5" xfId="1" applyFont="1" applyFill="1" applyBorder="1" applyAlignment="1" applyProtection="1">
      <alignment vertical="center"/>
      <protection locked="0"/>
    </xf>
    <xf numFmtId="0" fontId="2" fillId="3" borderId="5" xfId="1" applyFont="1" applyFill="1" applyBorder="1" applyAlignment="1" applyProtection="1">
      <alignment horizontal="center" vertical="center"/>
      <protection locked="0"/>
    </xf>
    <xf numFmtId="0" fontId="2" fillId="3" borderId="6" xfId="1" applyFont="1" applyFill="1" applyBorder="1" applyAlignment="1" applyProtection="1">
      <alignment vertical="center"/>
      <protection locked="0"/>
    </xf>
    <xf numFmtId="0" fontId="13" fillId="0" borderId="28" xfId="2" applyBorder="1" applyAlignment="1" applyProtection="1">
      <alignment vertical="top" wrapText="1"/>
      <protection hidden="1"/>
    </xf>
    <xf numFmtId="0" fontId="13" fillId="0" borderId="37" xfId="2" applyBorder="1" applyAlignment="1" applyProtection="1">
      <alignment vertical="top" wrapText="1"/>
      <protection hidden="1"/>
    </xf>
    <xf numFmtId="0" fontId="33" fillId="0" borderId="27" xfId="2" applyFont="1" applyBorder="1" applyAlignment="1" applyProtection="1">
      <alignment vertical="center" shrinkToFit="1"/>
      <protection hidden="1"/>
    </xf>
    <xf numFmtId="0" fontId="33" fillId="0" borderId="28" xfId="2" applyFont="1" applyBorder="1" applyAlignment="1" applyProtection="1">
      <alignment vertical="center" shrinkToFit="1"/>
      <protection hidden="1"/>
    </xf>
    <xf numFmtId="0" fontId="33" fillId="0" borderId="51" xfId="2" applyFont="1" applyBorder="1" applyAlignment="1" applyProtection="1">
      <alignment vertical="center" shrinkToFit="1"/>
      <protection hidden="1"/>
    </xf>
    <xf numFmtId="0" fontId="14" fillId="0" borderId="39" xfId="2" applyFont="1" applyBorder="1" applyAlignment="1" applyProtection="1">
      <alignment horizontal="center" vertical="center" wrapText="1"/>
      <protection hidden="1"/>
    </xf>
    <xf numFmtId="0" fontId="14" fillId="0" borderId="41" xfId="2" applyFont="1" applyBorder="1" applyAlignment="1" applyProtection="1">
      <alignment horizontal="center" vertical="center" wrapText="1"/>
      <protection hidden="1"/>
    </xf>
    <xf numFmtId="0" fontId="14" fillId="11" borderId="39" xfId="2" applyFont="1" applyFill="1" applyBorder="1" applyAlignment="1" applyProtection="1">
      <alignment horizontal="center" vertical="center" wrapText="1"/>
      <protection hidden="1"/>
    </xf>
    <xf numFmtId="0" fontId="10" fillId="0" borderId="1" xfId="1" applyFont="1" applyBorder="1" applyAlignment="1" applyProtection="1">
      <alignment horizontal="centerContinuous" vertical="center" shrinkToFit="1"/>
      <protection hidden="1"/>
    </xf>
    <xf numFmtId="171" fontId="2" fillId="0" borderId="15" xfId="1" applyNumberFormat="1" applyFont="1" applyBorder="1" applyAlignment="1" applyProtection="1">
      <alignment horizontal="center" vertical="center"/>
      <protection hidden="1"/>
    </xf>
    <xf numFmtId="0" fontId="0" fillId="0" borderId="41" xfId="0" applyBorder="1" applyAlignment="1" applyProtection="1">
      <alignment horizontal="left"/>
      <protection locked="0"/>
    </xf>
    <xf numFmtId="0" fontId="47" fillId="0" borderId="0" xfId="2" applyFont="1" applyAlignment="1" applyProtection="1">
      <alignment horizontal="left" vertical="top"/>
      <protection hidden="1"/>
    </xf>
    <xf numFmtId="0" fontId="48" fillId="0" borderId="0" xfId="2" applyFont="1" applyAlignment="1" applyProtection="1">
      <alignment horizontal="left" vertical="top"/>
      <protection hidden="1"/>
    </xf>
    <xf numFmtId="0" fontId="48" fillId="0" borderId="0" xfId="2" applyFont="1" applyAlignment="1" applyProtection="1">
      <alignment horizontal="left"/>
      <protection hidden="1"/>
    </xf>
    <xf numFmtId="0" fontId="49" fillId="0" borderId="0" xfId="2" applyFont="1" applyAlignment="1" applyProtection="1">
      <alignment horizontal="left" vertical="top"/>
      <protection hidden="1"/>
    </xf>
    <xf numFmtId="0" fontId="4" fillId="4" borderId="13" xfId="1" applyFont="1" applyFill="1" applyBorder="1" applyAlignment="1" applyProtection="1">
      <alignment horizontal="right" vertical="center"/>
      <protection hidden="1"/>
    </xf>
    <xf numFmtId="0" fontId="4" fillId="13" borderId="52" xfId="1" applyFont="1" applyFill="1" applyBorder="1" applyAlignment="1" applyProtection="1">
      <alignment horizontal="center" vertical="center"/>
      <protection locked="0"/>
    </xf>
    <xf numFmtId="0" fontId="4" fillId="12" borderId="52" xfId="1" applyFont="1" applyFill="1" applyBorder="1" applyAlignment="1" applyProtection="1">
      <alignment vertical="center"/>
      <protection hidden="1"/>
    </xf>
    <xf numFmtId="0" fontId="35" fillId="0" borderId="23" xfId="1" applyFont="1" applyBorder="1" applyAlignment="1" applyProtection="1">
      <alignment horizontal="center" vertical="center"/>
      <protection hidden="1"/>
    </xf>
    <xf numFmtId="0" fontId="2" fillId="0" borderId="52" xfId="1" applyFont="1" applyBorder="1" applyAlignment="1" applyProtection="1">
      <alignment horizontal="center" vertical="center"/>
      <protection hidden="1"/>
    </xf>
    <xf numFmtId="0" fontId="35" fillId="0" borderId="10" xfId="1" applyFont="1" applyBorder="1" applyAlignment="1" applyProtection="1">
      <alignment horizontal="center" vertical="center"/>
      <protection hidden="1"/>
    </xf>
    <xf numFmtId="0" fontId="35" fillId="0" borderId="56" xfId="1" applyFont="1" applyBorder="1" applyAlignment="1" applyProtection="1">
      <alignment horizontal="right" vertical="center"/>
      <protection hidden="1"/>
    </xf>
    <xf numFmtId="0" fontId="10" fillId="0" borderId="0" xfId="1" applyFont="1" applyAlignment="1" applyProtection="1">
      <alignment horizontal="center" vertical="center"/>
      <protection hidden="1"/>
    </xf>
    <xf numFmtId="170" fontId="8" fillId="13" borderId="41" xfId="0" applyNumberFormat="1" applyFont="1" applyFill="1" applyBorder="1"/>
    <xf numFmtId="167" fontId="52" fillId="13" borderId="41" xfId="0" applyNumberFormat="1" applyFont="1" applyFill="1" applyBorder="1"/>
    <xf numFmtId="0" fontId="53" fillId="13" borderId="0" xfId="0" applyFont="1" applyFill="1"/>
    <xf numFmtId="0" fontId="27" fillId="0" borderId="0" xfId="1" applyFont="1" applyAlignment="1" applyProtection="1">
      <alignment vertical="center"/>
      <protection locked="0" hidden="1"/>
    </xf>
    <xf numFmtId="167" fontId="27" fillId="0" borderId="0" xfId="1" applyNumberFormat="1" applyFont="1" applyAlignment="1" applyProtection="1">
      <alignment horizontal="center" vertical="center"/>
      <protection hidden="1"/>
    </xf>
    <xf numFmtId="167" fontId="27" fillId="0" borderId="41" xfId="1" applyNumberFormat="1" applyFont="1" applyBorder="1" applyAlignment="1" applyProtection="1">
      <alignment vertical="center"/>
      <protection hidden="1"/>
    </xf>
    <xf numFmtId="167" fontId="27" fillId="0" borderId="26" xfId="1" applyNumberFormat="1" applyFont="1" applyBorder="1" applyAlignment="1" applyProtection="1">
      <alignment vertical="center"/>
      <protection hidden="1"/>
    </xf>
    <xf numFmtId="166" fontId="27" fillId="0" borderId="26" xfId="1" applyNumberFormat="1" applyFont="1" applyBorder="1" applyAlignment="1" applyProtection="1">
      <alignment vertical="center"/>
      <protection hidden="1"/>
    </xf>
    <xf numFmtId="1" fontId="27" fillId="0" borderId="41" xfId="1" applyNumberFormat="1" applyFont="1" applyBorder="1" applyAlignment="1" applyProtection="1">
      <alignment horizontal="center" vertical="center"/>
      <protection hidden="1"/>
    </xf>
    <xf numFmtId="0" fontId="56" fillId="13" borderId="14" xfId="2" applyFont="1" applyFill="1" applyBorder="1" applyAlignment="1" applyProtection="1">
      <alignment horizontal="center" vertical="center" wrapText="1"/>
      <protection hidden="1"/>
    </xf>
    <xf numFmtId="0" fontId="27" fillId="0" borderId="0" xfId="1" applyFont="1" applyAlignment="1" applyProtection="1">
      <alignment horizontal="right" vertical="center"/>
      <protection hidden="1"/>
    </xf>
    <xf numFmtId="0" fontId="2" fillId="0" borderId="41" xfId="1" applyFont="1" applyBorder="1" applyAlignment="1" applyProtection="1">
      <alignment horizontal="center" vertical="center" shrinkToFit="1"/>
      <protection hidden="1"/>
    </xf>
    <xf numFmtId="0" fontId="2" fillId="0" borderId="3" xfId="1" applyFont="1" applyBorder="1" applyAlignment="1" applyProtection="1">
      <alignment vertical="center"/>
      <protection hidden="1"/>
    </xf>
    <xf numFmtId="0" fontId="4" fillId="0" borderId="13" xfId="1" applyFont="1" applyBorder="1" applyAlignment="1" applyProtection="1">
      <alignment horizontal="center" vertical="center"/>
      <protection locked="0"/>
    </xf>
    <xf numFmtId="0" fontId="2" fillId="3" borderId="19" xfId="1" applyFont="1" applyFill="1" applyBorder="1" applyAlignment="1" applyProtection="1">
      <alignment vertical="center"/>
      <protection hidden="1"/>
    </xf>
    <xf numFmtId="0" fontId="2" fillId="0" borderId="9" xfId="1" applyFont="1" applyBorder="1" applyAlignment="1" applyProtection="1">
      <alignment vertical="center"/>
      <protection hidden="1"/>
    </xf>
    <xf numFmtId="0" fontId="2" fillId="0" borderId="10" xfId="1" applyFont="1" applyBorder="1" applyAlignment="1" applyProtection="1">
      <alignment horizontal="right" vertical="center"/>
      <protection hidden="1"/>
    </xf>
    <xf numFmtId="0" fontId="4" fillId="0" borderId="11" xfId="1" applyFont="1" applyBorder="1" applyAlignment="1" applyProtection="1">
      <alignment horizontal="center" vertical="center"/>
      <protection locked="0"/>
    </xf>
    <xf numFmtId="0" fontId="2" fillId="3" borderId="2" xfId="1" applyFont="1" applyFill="1" applyBorder="1" applyAlignment="1" applyProtection="1">
      <alignment vertical="center"/>
      <protection hidden="1"/>
    </xf>
    <xf numFmtId="0" fontId="4" fillId="0" borderId="11" xfId="1" applyFont="1" applyBorder="1" applyAlignment="1" applyProtection="1">
      <alignment horizontal="center" vertical="center"/>
      <protection hidden="1"/>
    </xf>
    <xf numFmtId="0" fontId="2" fillId="0" borderId="5" xfId="1" applyFont="1" applyBorder="1" applyAlignment="1" applyProtection="1">
      <alignment vertical="center"/>
      <protection hidden="1"/>
    </xf>
    <xf numFmtId="0" fontId="2" fillId="0" borderId="55" xfId="1" applyFont="1" applyBorder="1" applyAlignment="1" applyProtection="1">
      <alignment vertical="center"/>
      <protection hidden="1"/>
    </xf>
    <xf numFmtId="171" fontId="53" fillId="0" borderId="16" xfId="1" applyNumberFormat="1" applyFont="1" applyBorder="1" applyAlignment="1" applyProtection="1">
      <alignment horizontal="center" vertical="center" shrinkToFit="1"/>
      <protection hidden="1"/>
    </xf>
    <xf numFmtId="0" fontId="2" fillId="0" borderId="1" xfId="1" applyFont="1" applyBorder="1" applyAlignment="1" applyProtection="1">
      <alignment horizontal="right" vertical="center"/>
      <protection hidden="1"/>
    </xf>
    <xf numFmtId="166" fontId="58" fillId="0" borderId="0" xfId="0" applyNumberFormat="1" applyFont="1" applyAlignment="1" applyProtection="1">
      <alignment horizontal="center" vertical="center"/>
      <protection hidden="1"/>
    </xf>
    <xf numFmtId="0" fontId="59" fillId="0" borderId="1" xfId="1" applyFont="1" applyBorder="1" applyAlignment="1" applyProtection="1">
      <alignment horizontal="center" vertical="center"/>
      <protection locked="0"/>
    </xf>
    <xf numFmtId="0" fontId="4" fillId="18" borderId="9" xfId="1" applyFont="1" applyFill="1" applyBorder="1" applyAlignment="1" applyProtection="1">
      <alignment vertical="center"/>
      <protection hidden="1"/>
    </xf>
    <xf numFmtId="0" fontId="4" fillId="18" borderId="10" xfId="1" applyFont="1" applyFill="1" applyBorder="1" applyAlignment="1" applyProtection="1">
      <alignment vertical="center"/>
      <protection hidden="1"/>
    </xf>
    <xf numFmtId="0" fontId="53" fillId="18" borderId="10" xfId="1" applyFont="1" applyFill="1" applyBorder="1" applyAlignment="1" applyProtection="1">
      <alignment vertical="center"/>
      <protection hidden="1"/>
    </xf>
    <xf numFmtId="0" fontId="53" fillId="18" borderId="13" xfId="1" applyFont="1" applyFill="1" applyBorder="1" applyAlignment="1" applyProtection="1">
      <alignment vertical="center"/>
      <protection hidden="1"/>
    </xf>
    <xf numFmtId="0" fontId="53" fillId="18" borderId="11" xfId="1" applyFont="1" applyFill="1" applyBorder="1" applyAlignment="1" applyProtection="1">
      <alignment vertical="center"/>
      <protection hidden="1"/>
    </xf>
    <xf numFmtId="0" fontId="4" fillId="0" borderId="15" xfId="1" applyFont="1" applyBorder="1" applyAlignment="1" applyProtection="1">
      <alignment horizontal="center" vertical="center" wrapText="1"/>
      <protection hidden="1"/>
    </xf>
    <xf numFmtId="0" fontId="4" fillId="4" borderId="1" xfId="1" applyFont="1" applyFill="1" applyBorder="1" applyAlignment="1" applyProtection="1">
      <alignment horizontal="center" vertical="center" wrapText="1"/>
      <protection hidden="1"/>
    </xf>
    <xf numFmtId="0" fontId="4" fillId="4" borderId="15" xfId="1" applyFont="1" applyFill="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0" xfId="1" applyFont="1" applyAlignment="1" applyProtection="1">
      <alignment horizontal="center" vertical="center" wrapText="1"/>
      <protection hidden="1"/>
    </xf>
    <xf numFmtId="0" fontId="2" fillId="3" borderId="0" xfId="1" applyFont="1" applyFill="1" applyAlignment="1" applyProtection="1">
      <alignment horizontal="center" vertical="center" wrapText="1"/>
      <protection hidden="1"/>
    </xf>
    <xf numFmtId="0" fontId="2" fillId="3" borderId="21" xfId="1" applyFont="1" applyFill="1" applyBorder="1" applyAlignment="1" applyProtection="1">
      <alignment horizontal="center" vertical="center" wrapText="1"/>
      <protection hidden="1"/>
    </xf>
    <xf numFmtId="0" fontId="2" fillId="3" borderId="12" xfId="1" applyFont="1" applyFill="1" applyBorder="1" applyAlignment="1" applyProtection="1">
      <alignment horizontal="center" vertical="center" wrapText="1"/>
      <protection hidden="1"/>
    </xf>
    <xf numFmtId="0" fontId="2" fillId="3" borderId="17" xfId="1" applyFont="1" applyFill="1" applyBorder="1" applyAlignment="1" applyProtection="1">
      <alignment horizontal="center" vertical="center" wrapText="1"/>
      <protection hidden="1"/>
    </xf>
    <xf numFmtId="0" fontId="2" fillId="3" borderId="0" xfId="1" applyFont="1" applyFill="1" applyAlignment="1" applyProtection="1">
      <alignment horizontal="center" vertical="center" wrapText="1" shrinkToFit="1"/>
      <protection hidden="1"/>
    </xf>
    <xf numFmtId="0" fontId="2" fillId="3" borderId="18" xfId="1" applyFont="1" applyFill="1" applyBorder="1" applyAlignment="1" applyProtection="1">
      <alignment horizontal="center" vertical="center" wrapText="1" shrinkToFit="1"/>
      <protection hidden="1"/>
    </xf>
    <xf numFmtId="167" fontId="2" fillId="3" borderId="17" xfId="1" applyNumberFormat="1" applyFont="1" applyFill="1" applyBorder="1" applyAlignment="1" applyProtection="1">
      <alignment horizontal="center" vertical="center" wrapText="1"/>
      <protection hidden="1"/>
    </xf>
    <xf numFmtId="167" fontId="4" fillId="0" borderId="17" xfId="1" applyNumberFormat="1" applyFont="1" applyBorder="1" applyAlignment="1" applyProtection="1">
      <alignment vertical="center"/>
      <protection hidden="1"/>
    </xf>
    <xf numFmtId="167" fontId="4" fillId="0" borderId="22" xfId="1" applyNumberFormat="1" applyFont="1" applyBorder="1" applyAlignment="1" applyProtection="1">
      <alignment vertical="center"/>
      <protection hidden="1"/>
    </xf>
    <xf numFmtId="0" fontId="60" fillId="18" borderId="13" xfId="1" applyFont="1" applyFill="1" applyBorder="1" applyAlignment="1" applyProtection="1">
      <alignment vertical="center"/>
      <protection hidden="1"/>
    </xf>
    <xf numFmtId="0" fontId="4" fillId="4" borderId="23" xfId="1" applyFont="1" applyFill="1" applyBorder="1" applyAlignment="1" applyProtection="1">
      <alignment vertical="center"/>
      <protection hidden="1"/>
    </xf>
    <xf numFmtId="0" fontId="2" fillId="19" borderId="0" xfId="1" applyFont="1" applyFill="1" applyAlignment="1" applyProtection="1">
      <alignment horizontal="center" vertical="center"/>
      <protection locked="0" hidden="1"/>
    </xf>
    <xf numFmtId="171" fontId="2" fillId="19" borderId="0" xfId="1" applyNumberFormat="1" applyFont="1" applyFill="1" applyAlignment="1" applyProtection="1">
      <alignment vertical="center"/>
      <protection locked="0" hidden="1"/>
    </xf>
    <xf numFmtId="171" fontId="7" fillId="19" borderId="0" xfId="1" applyNumberFormat="1" applyFont="1" applyFill="1" applyAlignment="1" applyProtection="1">
      <alignment vertical="center"/>
      <protection locked="0" hidden="1"/>
    </xf>
    <xf numFmtId="0" fontId="7" fillId="19" borderId="0" xfId="1" applyFont="1" applyFill="1" applyAlignment="1" applyProtection="1">
      <alignment horizontal="center" vertical="center"/>
      <protection locked="0" hidden="1"/>
    </xf>
    <xf numFmtId="0" fontId="2" fillId="19" borderId="0" xfId="1" applyFont="1" applyFill="1" applyAlignment="1" applyProtection="1">
      <alignment vertical="center"/>
      <protection locked="0" hidden="1"/>
    </xf>
    <xf numFmtId="0" fontId="27" fillId="17" borderId="0" xfId="1" applyFont="1" applyFill="1" applyAlignment="1" applyProtection="1">
      <alignment horizontal="center" vertical="center"/>
      <protection hidden="1"/>
    </xf>
    <xf numFmtId="0" fontId="27" fillId="0" borderId="41" xfId="1" applyFont="1" applyBorder="1" applyAlignment="1" applyProtection="1">
      <alignment horizontal="center" vertical="center"/>
      <protection hidden="1"/>
    </xf>
    <xf numFmtId="0" fontId="27" fillId="0" borderId="53" xfId="1" applyFont="1" applyBorder="1" applyAlignment="1" applyProtection="1">
      <alignment horizontal="center" vertical="center"/>
      <protection hidden="1"/>
    </xf>
    <xf numFmtId="0" fontId="27" fillId="0" borderId="45" xfId="1" applyFont="1" applyBorder="1" applyAlignment="1" applyProtection="1">
      <alignment horizontal="center" vertical="center"/>
      <protection hidden="1"/>
    </xf>
    <xf numFmtId="0" fontId="27" fillId="0" borderId="54" xfId="1" applyFont="1" applyBorder="1" applyAlignment="1" applyProtection="1">
      <alignment horizontal="center" vertical="center"/>
      <protection hidden="1"/>
    </xf>
    <xf numFmtId="0" fontId="27" fillId="0" borderId="46" xfId="1" applyFont="1" applyBorder="1" applyAlignment="1" applyProtection="1">
      <alignment horizontal="center" vertical="center"/>
      <protection hidden="1"/>
    </xf>
    <xf numFmtId="0" fontId="27" fillId="0" borderId="48" xfId="1" applyFont="1" applyBorder="1" applyAlignment="1" applyProtection="1">
      <alignment horizontal="center" vertical="center"/>
      <protection hidden="1"/>
    </xf>
    <xf numFmtId="0" fontId="27" fillId="0" borderId="42" xfId="1" applyFont="1" applyBorder="1" applyAlignment="1" applyProtection="1">
      <alignment horizontal="center" vertical="center"/>
      <protection hidden="1"/>
    </xf>
    <xf numFmtId="0" fontId="27" fillId="0" borderId="0" xfId="1" applyFont="1" applyAlignment="1" applyProtection="1">
      <alignment horizontal="left" vertical="center"/>
      <protection hidden="1"/>
    </xf>
    <xf numFmtId="0" fontId="4" fillId="4" borderId="18" xfId="1" applyFont="1" applyFill="1" applyBorder="1" applyAlignment="1" applyProtection="1">
      <alignment horizontal="center" vertical="center" wrapText="1"/>
      <protection hidden="1"/>
    </xf>
    <xf numFmtId="0" fontId="4" fillId="4" borderId="22" xfId="1" applyFont="1" applyFill="1" applyBorder="1" applyAlignment="1" applyProtection="1">
      <alignment horizontal="center" vertical="center" wrapText="1"/>
      <protection hidden="1"/>
    </xf>
    <xf numFmtId="0" fontId="4" fillId="0" borderId="19" xfId="1" applyFont="1" applyBorder="1" applyAlignment="1" applyProtection="1">
      <alignment horizontal="center" vertical="center" wrapText="1"/>
      <protection hidden="1"/>
    </xf>
    <xf numFmtId="0" fontId="4" fillId="0" borderId="13" xfId="1" applyFont="1" applyBorder="1" applyAlignment="1" applyProtection="1">
      <alignment horizontal="center" vertical="center"/>
      <protection hidden="1"/>
    </xf>
    <xf numFmtId="0" fontId="4" fillId="0" borderId="23" xfId="1" applyFont="1" applyBorder="1" applyAlignment="1" applyProtection="1">
      <alignment horizontal="center" vertical="center" wrapText="1"/>
      <protection hidden="1"/>
    </xf>
    <xf numFmtId="0" fontId="4" fillId="0" borderId="15" xfId="1" applyFont="1" applyBorder="1" applyAlignment="1" applyProtection="1">
      <alignment horizontal="center" vertical="center" wrapText="1"/>
      <protection hidden="1"/>
    </xf>
    <xf numFmtId="0" fontId="27" fillId="0" borderId="5" xfId="1" applyFont="1" applyBorder="1" applyAlignment="1" applyProtection="1">
      <alignment horizontal="center" vertical="center"/>
      <protection hidden="1"/>
    </xf>
    <xf numFmtId="0" fontId="27" fillId="0" borderId="48" xfId="1" applyFont="1" applyBorder="1" applyAlignment="1" applyProtection="1">
      <alignment horizontal="center" vertical="center" wrapText="1"/>
      <protection hidden="1"/>
    </xf>
    <xf numFmtId="0" fontId="27" fillId="0" borderId="5" xfId="1" applyFont="1" applyBorder="1" applyAlignment="1" applyProtection="1">
      <alignment horizontal="center" vertical="center" wrapText="1"/>
      <protection hidden="1"/>
    </xf>
    <xf numFmtId="0" fontId="27" fillId="0" borderId="42" xfId="1" applyFont="1" applyBorder="1" applyAlignment="1" applyProtection="1">
      <alignment horizontal="center" vertical="center" wrapText="1"/>
      <protection hidden="1"/>
    </xf>
    <xf numFmtId="0" fontId="27" fillId="0" borderId="48" xfId="1" applyFont="1" applyBorder="1" applyAlignment="1" applyProtection="1">
      <alignment horizontal="left" vertical="center"/>
      <protection hidden="1"/>
    </xf>
    <xf numFmtId="0" fontId="27" fillId="0" borderId="5" xfId="1" applyFont="1" applyBorder="1" applyAlignment="1" applyProtection="1">
      <alignment horizontal="left" vertical="center"/>
      <protection hidden="1"/>
    </xf>
    <xf numFmtId="0" fontId="27" fillId="0" borderId="42" xfId="1" applyFont="1" applyBorder="1" applyAlignment="1" applyProtection="1">
      <alignment horizontal="left" vertical="center"/>
      <protection hidden="1"/>
    </xf>
    <xf numFmtId="0" fontId="27" fillId="0" borderId="41" xfId="1" applyFont="1" applyBorder="1" applyAlignment="1" applyProtection="1">
      <alignment horizontal="center" vertical="center" wrapText="1"/>
      <protection hidden="1"/>
    </xf>
    <xf numFmtId="0" fontId="2" fillId="0" borderId="48" xfId="1" applyFont="1" applyBorder="1" applyAlignment="1" applyProtection="1">
      <alignment horizontal="center" vertical="center"/>
      <protection hidden="1"/>
    </xf>
    <xf numFmtId="0" fontId="2" fillId="0" borderId="5" xfId="1" applyFont="1" applyBorder="1" applyAlignment="1" applyProtection="1">
      <alignment horizontal="center" vertical="center"/>
      <protection hidden="1"/>
    </xf>
    <xf numFmtId="0" fontId="2" fillId="0" borderId="42" xfId="1" applyFont="1" applyBorder="1" applyAlignment="1" applyProtection="1">
      <alignment horizontal="center" vertical="center"/>
      <protection hidden="1"/>
    </xf>
    <xf numFmtId="0" fontId="2" fillId="0" borderId="7" xfId="1" applyFont="1" applyBorder="1" applyAlignment="1" applyProtection="1">
      <alignment horizontal="left" vertical="center"/>
      <protection locked="0"/>
    </xf>
    <xf numFmtId="0" fontId="2" fillId="0" borderId="8" xfId="1" applyFont="1" applyBorder="1" applyAlignment="1" applyProtection="1">
      <alignment horizontal="left" vertical="center"/>
      <protection locked="0"/>
    </xf>
    <xf numFmtId="0" fontId="2" fillId="0" borderId="55" xfId="1" applyFont="1" applyBorder="1" applyAlignment="1" applyProtection="1">
      <alignment horizontal="left" vertical="center"/>
      <protection locked="0"/>
    </xf>
    <xf numFmtId="167" fontId="27" fillId="0" borderId="45" xfId="1" applyNumberFormat="1" applyFont="1" applyBorder="1" applyAlignment="1" applyProtection="1">
      <alignment horizontal="center" vertical="center"/>
      <protection hidden="1"/>
    </xf>
    <xf numFmtId="167" fontId="27" fillId="0" borderId="54" xfId="1" applyNumberFormat="1" applyFont="1" applyBorder="1" applyAlignment="1" applyProtection="1">
      <alignment horizontal="center" vertical="center"/>
      <protection hidden="1"/>
    </xf>
    <xf numFmtId="167" fontId="27" fillId="0" borderId="48" xfId="1" applyNumberFormat="1" applyFont="1" applyBorder="1" applyAlignment="1" applyProtection="1">
      <alignment horizontal="center" vertical="center"/>
      <protection hidden="1"/>
    </xf>
    <xf numFmtId="167" fontId="27" fillId="0" borderId="5" xfId="1" applyNumberFormat="1" applyFont="1" applyBorder="1" applyAlignment="1" applyProtection="1">
      <alignment horizontal="center" vertical="center"/>
      <protection hidden="1"/>
    </xf>
    <xf numFmtId="167" fontId="27" fillId="0" borderId="42" xfId="1" applyNumberFormat="1" applyFont="1" applyBorder="1" applyAlignment="1" applyProtection="1">
      <alignment horizontal="center" vertical="center"/>
      <protection hidden="1"/>
    </xf>
    <xf numFmtId="0" fontId="3" fillId="2" borderId="0" xfId="1" applyFont="1" applyFill="1" applyAlignment="1" applyProtection="1">
      <alignment horizontal="center" vertical="center"/>
      <protection hidden="1"/>
    </xf>
    <xf numFmtId="0" fontId="2" fillId="0" borderId="23" xfId="1" applyFont="1" applyBorder="1" applyAlignment="1" applyProtection="1">
      <alignment horizontal="center" vertical="center" wrapText="1"/>
      <protection hidden="1"/>
    </xf>
    <xf numFmtId="0" fontId="2" fillId="0" borderId="1" xfId="1" applyFont="1" applyBorder="1" applyAlignment="1" applyProtection="1">
      <alignment horizontal="center" vertical="center" wrapText="1"/>
      <protection hidden="1"/>
    </xf>
    <xf numFmtId="0" fontId="4" fillId="0" borderId="4" xfId="1" applyFont="1" applyBorder="1" applyAlignment="1" applyProtection="1">
      <alignment horizontal="left" vertical="center"/>
      <protection hidden="1"/>
    </xf>
    <xf numFmtId="0" fontId="4" fillId="0" borderId="5" xfId="1" applyFont="1" applyBorder="1" applyAlignment="1" applyProtection="1">
      <alignment horizontal="left" vertical="center"/>
      <protection hidden="1"/>
    </xf>
    <xf numFmtId="0" fontId="2" fillId="4" borderId="1" xfId="1" applyFont="1" applyFill="1" applyBorder="1" applyAlignment="1" applyProtection="1">
      <alignment horizontal="center" vertical="center" wrapText="1"/>
      <protection hidden="1"/>
    </xf>
    <xf numFmtId="0" fontId="4" fillId="0" borderId="49" xfId="1" applyFont="1" applyBorder="1" applyAlignment="1" applyProtection="1">
      <alignment horizontal="left" vertical="center"/>
      <protection hidden="1"/>
    </xf>
    <xf numFmtId="0" fontId="4" fillId="0" borderId="14" xfId="1" applyFont="1" applyBorder="1" applyAlignment="1" applyProtection="1">
      <alignment horizontal="left" vertical="center"/>
      <protection hidden="1"/>
    </xf>
    <xf numFmtId="0" fontId="2" fillId="0" borderId="14" xfId="1" applyFont="1" applyBorder="1" applyAlignment="1" applyProtection="1">
      <alignment vertical="center"/>
      <protection hidden="1"/>
    </xf>
    <xf numFmtId="0" fontId="4" fillId="0" borderId="2" xfId="1" applyFont="1" applyBorder="1" applyAlignment="1" applyProtection="1">
      <alignment horizontal="left" vertical="center"/>
      <protection locked="0" hidden="1"/>
    </xf>
    <xf numFmtId="0" fontId="4" fillId="0" borderId="3" xfId="1" applyFont="1" applyBorder="1" applyAlignment="1" applyProtection="1">
      <alignment horizontal="left" vertical="center"/>
      <protection locked="0" hidden="1"/>
    </xf>
    <xf numFmtId="0" fontId="2" fillId="0" borderId="3" xfId="1" applyFont="1" applyBorder="1" applyAlignment="1" applyProtection="1">
      <alignment vertical="center"/>
      <protection locked="0" hidden="1"/>
    </xf>
    <xf numFmtId="0" fontId="2" fillId="0" borderId="5" xfId="1" applyFont="1" applyBorder="1" applyAlignment="1" applyProtection="1">
      <alignment vertical="center"/>
      <protection hidden="1"/>
    </xf>
    <xf numFmtId="0" fontId="2" fillId="0" borderId="48" xfId="1" applyFont="1" applyBorder="1" applyAlignment="1" applyProtection="1">
      <alignment horizontal="left" vertical="center"/>
      <protection locked="0"/>
    </xf>
    <xf numFmtId="0" fontId="2" fillId="0" borderId="5" xfId="1" applyFont="1" applyBorder="1" applyAlignment="1" applyProtection="1">
      <alignment horizontal="left" vertical="center"/>
      <protection locked="0"/>
    </xf>
    <xf numFmtId="0" fontId="2" fillId="0" borderId="54" xfId="1" applyFont="1" applyBorder="1" applyAlignment="1" applyProtection="1">
      <alignment horizontal="left" vertical="center"/>
      <protection locked="0"/>
    </xf>
    <xf numFmtId="0" fontId="2" fillId="0" borderId="42" xfId="1" applyFont="1" applyBorder="1" applyAlignment="1" applyProtection="1">
      <alignment horizontal="left" vertical="center"/>
      <protection locked="0"/>
    </xf>
    <xf numFmtId="0" fontId="2" fillId="0" borderId="4" xfId="1" applyFont="1" applyBorder="1" applyAlignment="1" applyProtection="1">
      <alignment horizontal="left" vertical="center"/>
      <protection locked="0"/>
    </xf>
    <xf numFmtId="0" fontId="2" fillId="0" borderId="6" xfId="1" applyFont="1" applyBorder="1" applyAlignment="1" applyProtection="1">
      <alignment horizontal="left" vertical="center"/>
      <protection locked="0"/>
    </xf>
    <xf numFmtId="0" fontId="2" fillId="0" borderId="2" xfId="1" applyFont="1" applyBorder="1" applyAlignment="1" applyProtection="1">
      <alignment horizontal="left" vertical="center"/>
      <protection locked="0" hidden="1"/>
    </xf>
    <xf numFmtId="0" fontId="2" fillId="0" borderId="3" xfId="1" applyFont="1" applyBorder="1" applyAlignment="1" applyProtection="1">
      <alignment horizontal="left" vertical="center"/>
      <protection locked="0" hidden="1"/>
    </xf>
    <xf numFmtId="0" fontId="54" fillId="3" borderId="41" xfId="1" applyFont="1" applyFill="1" applyBorder="1" applyAlignment="1" applyProtection="1">
      <alignment horizontal="center" vertical="center" wrapText="1"/>
      <protection hidden="1"/>
    </xf>
    <xf numFmtId="166" fontId="55" fillId="0" borderId="41" xfId="1" applyNumberFormat="1" applyFont="1" applyBorder="1" applyAlignment="1" applyProtection="1">
      <alignment horizontal="center" vertical="center"/>
      <protection locked="0"/>
    </xf>
    <xf numFmtId="0" fontId="2" fillId="3" borderId="2" xfId="1" applyFont="1" applyFill="1" applyBorder="1" applyAlignment="1" applyProtection="1">
      <alignment horizontal="center" vertical="center"/>
      <protection hidden="1"/>
    </xf>
    <xf numFmtId="0" fontId="2" fillId="3" borderId="3" xfId="1" applyFont="1" applyFill="1" applyBorder="1" applyAlignment="1" applyProtection="1">
      <alignment horizontal="center" vertical="center"/>
      <protection hidden="1"/>
    </xf>
    <xf numFmtId="0" fontId="2" fillId="3" borderId="40" xfId="1" applyFont="1" applyFill="1" applyBorder="1" applyAlignment="1" applyProtection="1">
      <alignment horizontal="center" vertical="center"/>
      <protection hidden="1"/>
    </xf>
    <xf numFmtId="0" fontId="39" fillId="3" borderId="26" xfId="0" applyFont="1" applyFill="1" applyBorder="1" applyAlignment="1">
      <alignment horizontal="center" vertical="center"/>
    </xf>
    <xf numFmtId="0" fontId="39" fillId="3" borderId="53" xfId="0" applyFont="1" applyFill="1" applyBorder="1" applyAlignment="1">
      <alignment horizontal="center" vertical="center"/>
    </xf>
    <xf numFmtId="0" fontId="45" fillId="0" borderId="27" xfId="2" applyFont="1" applyBorder="1" applyAlignment="1" applyProtection="1">
      <alignment horizontal="left" vertical="center" shrinkToFit="1"/>
      <protection hidden="1"/>
    </xf>
    <xf numFmtId="0" fontId="45" fillId="0" borderId="28" xfId="2" applyFont="1" applyBorder="1" applyAlignment="1" applyProtection="1">
      <alignment horizontal="left" vertical="center" shrinkToFit="1"/>
      <protection hidden="1"/>
    </xf>
    <xf numFmtId="0" fontId="45" fillId="0" borderId="51" xfId="2" applyFont="1" applyBorder="1" applyAlignment="1" applyProtection="1">
      <alignment horizontal="left" vertical="center" shrinkToFit="1"/>
      <protection hidden="1"/>
    </xf>
    <xf numFmtId="0" fontId="46" fillId="0" borderId="28" xfId="2" applyFont="1" applyBorder="1" applyAlignment="1" applyProtection="1">
      <alignment horizontal="left" vertical="center" shrinkToFit="1"/>
      <protection hidden="1"/>
    </xf>
    <xf numFmtId="0" fontId="46" fillId="0" borderId="29" xfId="2" applyFont="1" applyBorder="1" applyAlignment="1" applyProtection="1">
      <alignment horizontal="left" vertical="center" shrinkToFit="1"/>
      <protection hidden="1"/>
    </xf>
    <xf numFmtId="0" fontId="14" fillId="0" borderId="30" xfId="2" applyFont="1" applyBorder="1" applyAlignment="1" applyProtection="1">
      <alignment horizontal="center" vertical="center" wrapText="1"/>
      <protection hidden="1"/>
    </xf>
    <xf numFmtId="0" fontId="14" fillId="0" borderId="31" xfId="2" applyFont="1" applyBorder="1" applyAlignment="1" applyProtection="1">
      <alignment horizontal="center" vertical="center" wrapText="1"/>
      <protection hidden="1"/>
    </xf>
    <xf numFmtId="0" fontId="14" fillId="0" borderId="32" xfId="2" applyFont="1" applyBorder="1" applyAlignment="1" applyProtection="1">
      <alignment horizontal="center" vertical="center" wrapText="1"/>
      <protection hidden="1"/>
    </xf>
    <xf numFmtId="0" fontId="14" fillId="0" borderId="27" xfId="2" applyFont="1" applyBorder="1" applyAlignment="1" applyProtection="1">
      <alignment horizontal="center" vertical="center" wrapText="1"/>
      <protection hidden="1"/>
    </xf>
    <xf numFmtId="0" fontId="14" fillId="0" borderId="28" xfId="2" applyFont="1" applyBorder="1" applyAlignment="1" applyProtection="1">
      <alignment horizontal="center" vertical="center" wrapText="1"/>
      <protection hidden="1"/>
    </xf>
    <xf numFmtId="0" fontId="14" fillId="0" borderId="51" xfId="2" applyFont="1" applyBorder="1" applyAlignment="1" applyProtection="1">
      <alignment horizontal="center" vertical="center" wrapText="1"/>
      <protection hidden="1"/>
    </xf>
    <xf numFmtId="0" fontId="19" fillId="0" borderId="27" xfId="2" applyFont="1" applyBorder="1" applyAlignment="1" applyProtection="1">
      <alignment horizontal="center" vertical="center" wrapText="1"/>
      <protection hidden="1"/>
    </xf>
    <xf numFmtId="0" fontId="19" fillId="0" borderId="29" xfId="2" applyFont="1" applyBorder="1" applyAlignment="1" applyProtection="1">
      <alignment horizontal="center" vertical="center" wrapText="1"/>
      <protection hidden="1"/>
    </xf>
    <xf numFmtId="0" fontId="46" fillId="0" borderId="37" xfId="2" applyFont="1" applyBorder="1" applyAlignment="1" applyProtection="1">
      <alignment horizontal="left" vertical="center" shrinkToFit="1"/>
      <protection hidden="1"/>
    </xf>
    <xf numFmtId="0" fontId="46" fillId="0" borderId="38" xfId="2" applyFont="1" applyBorder="1" applyAlignment="1" applyProtection="1">
      <alignment horizontal="left" vertical="center" shrinkToFit="1"/>
      <protection hidden="1"/>
    </xf>
    <xf numFmtId="0" fontId="14" fillId="0" borderId="27" xfId="2" applyFont="1" applyBorder="1" applyAlignment="1" applyProtection="1">
      <alignment horizontal="left" vertical="center" wrapText="1"/>
      <protection hidden="1"/>
    </xf>
    <xf numFmtId="0" fontId="14" fillId="0" borderId="28" xfId="2" applyFont="1" applyBorder="1" applyAlignment="1" applyProtection="1">
      <alignment horizontal="left" vertical="center" wrapText="1"/>
      <protection hidden="1"/>
    </xf>
    <xf numFmtId="0" fontId="14" fillId="0" borderId="29" xfId="2" applyFont="1" applyBorder="1" applyAlignment="1" applyProtection="1">
      <alignment horizontal="left" vertical="center" wrapText="1"/>
      <protection hidden="1"/>
    </xf>
    <xf numFmtId="0" fontId="18" fillId="0" borderId="0" xfId="2" applyFont="1" applyAlignment="1" applyProtection="1">
      <alignment horizontal="left"/>
      <protection locked="0"/>
    </xf>
    <xf numFmtId="0" fontId="19" fillId="0" borderId="31" xfId="2" applyFont="1" applyBorder="1" applyAlignment="1" applyProtection="1">
      <alignment horizontal="left" vertical="center" wrapText="1"/>
      <protection hidden="1"/>
    </xf>
    <xf numFmtId="0" fontId="32" fillId="0" borderId="31" xfId="2" applyFont="1" applyBorder="1" applyAlignment="1" applyProtection="1">
      <alignment horizontal="right" vertical="center" wrapText="1"/>
      <protection hidden="1"/>
    </xf>
    <xf numFmtId="0" fontId="32" fillId="0" borderId="32" xfId="2" applyFont="1" applyBorder="1" applyAlignment="1" applyProtection="1">
      <alignment horizontal="right" vertical="center" wrapText="1"/>
      <protection hidden="1"/>
    </xf>
    <xf numFmtId="0" fontId="19" fillId="0" borderId="30" xfId="2" applyFont="1" applyBorder="1" applyAlignment="1" applyProtection="1">
      <alignment horizontal="center" vertical="center" wrapText="1"/>
      <protection hidden="1"/>
    </xf>
    <xf numFmtId="0" fontId="19" fillId="0" borderId="32" xfId="2" applyFont="1" applyBorder="1" applyAlignment="1" applyProtection="1">
      <alignment horizontal="center" vertical="center" wrapText="1"/>
      <protection hidden="1"/>
    </xf>
    <xf numFmtId="45" fontId="19" fillId="0" borderId="14" xfId="2" applyNumberFormat="1" applyFont="1" applyBorder="1" applyAlignment="1" applyProtection="1">
      <alignment horizontal="center" vertical="center" wrapText="1"/>
      <protection hidden="1"/>
    </xf>
    <xf numFmtId="0" fontId="24" fillId="0" borderId="0" xfId="2" applyFont="1" applyAlignment="1" applyProtection="1">
      <alignment horizontal="left" vertical="center" wrapText="1"/>
      <protection locked="0" hidden="1"/>
    </xf>
    <xf numFmtId="0" fontId="14" fillId="0" borderId="27" xfId="2" applyFont="1" applyBorder="1" applyAlignment="1" applyProtection="1">
      <alignment horizontal="right" vertical="top" wrapText="1"/>
      <protection hidden="1"/>
    </xf>
    <xf numFmtId="0" fontId="14" fillId="0" borderId="28" xfId="2" applyFont="1" applyBorder="1" applyAlignment="1" applyProtection="1">
      <alignment horizontal="right" vertical="top" wrapText="1"/>
      <protection hidden="1"/>
    </xf>
    <xf numFmtId="0" fontId="14" fillId="0" borderId="29" xfId="2" applyFont="1" applyBorder="1" applyAlignment="1" applyProtection="1">
      <alignment horizontal="right" vertical="top" wrapText="1"/>
      <protection hidden="1"/>
    </xf>
    <xf numFmtId="0" fontId="14" fillId="0" borderId="29" xfId="2" applyFont="1" applyBorder="1" applyAlignment="1" applyProtection="1">
      <alignment horizontal="center" vertical="center" wrapText="1"/>
      <protection hidden="1"/>
    </xf>
    <xf numFmtId="0" fontId="20" fillId="0" borderId="34" xfId="2" applyFont="1" applyBorder="1" applyAlignment="1" applyProtection="1">
      <alignment horizontal="left" vertical="center" wrapText="1"/>
      <protection hidden="1"/>
    </xf>
    <xf numFmtId="0" fontId="20" fillId="0" borderId="0" xfId="2" applyFont="1" applyAlignment="1" applyProtection="1">
      <alignment horizontal="left" vertical="center" wrapText="1"/>
      <protection hidden="1"/>
    </xf>
    <xf numFmtId="0" fontId="20" fillId="0" borderId="35" xfId="2" applyFont="1" applyBorder="1" applyAlignment="1" applyProtection="1">
      <alignment horizontal="left" vertical="center" wrapText="1"/>
      <protection hidden="1"/>
    </xf>
    <xf numFmtId="0" fontId="20" fillId="0" borderId="36" xfId="2" applyFont="1" applyBorder="1" applyAlignment="1" applyProtection="1">
      <alignment horizontal="left" vertical="center" wrapText="1"/>
      <protection hidden="1"/>
    </xf>
    <xf numFmtId="0" fontId="20" fillId="0" borderId="37" xfId="2" applyFont="1" applyBorder="1" applyAlignment="1" applyProtection="1">
      <alignment horizontal="left" vertical="center" wrapText="1"/>
      <protection hidden="1"/>
    </xf>
    <xf numFmtId="0" fontId="20" fillId="0" borderId="38" xfId="2" applyFont="1" applyBorder="1" applyAlignment="1" applyProtection="1">
      <alignment horizontal="left" vertical="center" wrapText="1"/>
      <protection hidden="1"/>
    </xf>
    <xf numFmtId="0" fontId="14" fillId="0" borderId="30" xfId="2" applyFont="1" applyBorder="1" applyAlignment="1" applyProtection="1">
      <alignment horizontal="right" vertical="top" wrapText="1"/>
      <protection hidden="1"/>
    </xf>
    <xf numFmtId="0" fontId="14" fillId="0" borderId="31" xfId="2" applyFont="1" applyBorder="1" applyAlignment="1" applyProtection="1">
      <alignment horizontal="right" vertical="top" wrapText="1"/>
      <protection hidden="1"/>
    </xf>
    <xf numFmtId="0" fontId="14" fillId="0" borderId="32" xfId="2" applyFont="1" applyBorder="1" applyAlignment="1" applyProtection="1">
      <alignment horizontal="right" vertical="top" wrapText="1"/>
      <protection hidden="1"/>
    </xf>
    <xf numFmtId="0" fontId="13" fillId="11" borderId="24" xfId="2" applyFill="1" applyBorder="1" applyAlignment="1" applyProtection="1">
      <alignment horizontal="center" vertical="top" wrapText="1"/>
      <protection hidden="1"/>
    </xf>
    <xf numFmtId="0" fontId="13" fillId="11" borderId="43" xfId="2" applyFill="1" applyBorder="1" applyAlignment="1" applyProtection="1">
      <alignment horizontal="center" vertical="top" wrapText="1"/>
      <protection hidden="1"/>
    </xf>
    <xf numFmtId="0" fontId="40" fillId="11" borderId="25" xfId="2" applyFont="1" applyFill="1" applyBorder="1" applyAlignment="1" applyProtection="1">
      <alignment horizontal="center" vertical="center" shrinkToFit="1"/>
      <protection locked="0"/>
    </xf>
    <xf numFmtId="0" fontId="40" fillId="11" borderId="44" xfId="2" applyFont="1" applyFill="1" applyBorder="1" applyAlignment="1" applyProtection="1">
      <alignment horizontal="center" vertical="center" shrinkToFit="1"/>
      <protection locked="0"/>
    </xf>
    <xf numFmtId="0" fontId="57" fillId="0" borderId="24" xfId="2" applyFont="1" applyBorder="1" applyAlignment="1" applyProtection="1">
      <alignment horizontal="center" vertical="center"/>
      <protection hidden="1"/>
    </xf>
    <xf numFmtId="0" fontId="57" fillId="0" borderId="14" xfId="2" applyFont="1" applyBorder="1" applyAlignment="1" applyProtection="1">
      <alignment horizontal="center" vertical="center"/>
      <protection hidden="1"/>
    </xf>
    <xf numFmtId="0" fontId="57" fillId="0" borderId="43" xfId="2" applyFont="1" applyBorder="1" applyAlignment="1" applyProtection="1">
      <alignment horizontal="center" vertical="center"/>
      <protection hidden="1"/>
    </xf>
    <xf numFmtId="0" fontId="57" fillId="0" borderId="25" xfId="2" applyFont="1" applyBorder="1" applyAlignment="1" applyProtection="1">
      <alignment horizontal="center" vertical="center"/>
      <protection hidden="1"/>
    </xf>
    <xf numFmtId="0" fontId="57" fillId="0" borderId="0" xfId="2" applyFont="1" applyAlignment="1" applyProtection="1">
      <alignment horizontal="center" vertical="center"/>
      <protection hidden="1"/>
    </xf>
    <xf numFmtId="0" fontId="57" fillId="0" borderId="44" xfId="2" applyFont="1" applyBorder="1" applyAlignment="1" applyProtection="1">
      <alignment horizontal="center" vertical="center"/>
      <protection hidden="1"/>
    </xf>
    <xf numFmtId="0" fontId="57" fillId="0" borderId="45" xfId="2" applyFont="1" applyBorder="1" applyAlignment="1" applyProtection="1">
      <alignment horizontal="center" vertical="center"/>
      <protection hidden="1"/>
    </xf>
    <xf numFmtId="0" fontId="57" fillId="0" borderId="54" xfId="2" applyFont="1" applyBorder="1" applyAlignment="1" applyProtection="1">
      <alignment horizontal="center" vertical="center"/>
      <protection hidden="1"/>
    </xf>
    <xf numFmtId="0" fontId="57" fillId="0" borderId="46" xfId="2" applyFont="1" applyBorder="1" applyAlignment="1" applyProtection="1">
      <alignment horizontal="center" vertical="center"/>
      <protection hidden="1"/>
    </xf>
    <xf numFmtId="0" fontId="46" fillId="0" borderId="51" xfId="2" applyFont="1" applyBorder="1" applyAlignment="1" applyProtection="1">
      <alignment horizontal="left" vertical="center" shrinkToFit="1"/>
      <protection hidden="1"/>
    </xf>
    <xf numFmtId="0" fontId="46" fillId="0" borderId="31" xfId="2" applyFont="1" applyBorder="1" applyAlignment="1" applyProtection="1">
      <alignment horizontal="left" vertical="center" shrinkToFit="1"/>
      <protection hidden="1"/>
    </xf>
    <xf numFmtId="0" fontId="46" fillId="0" borderId="57" xfId="2" applyFont="1" applyBorder="1" applyAlignment="1" applyProtection="1">
      <alignment horizontal="left" vertical="center" shrinkToFit="1"/>
      <protection hidden="1"/>
    </xf>
    <xf numFmtId="0" fontId="0" fillId="9" borderId="0" xfId="0" applyFill="1" applyAlignment="1">
      <alignment horizontal="center"/>
    </xf>
    <xf numFmtId="0" fontId="0" fillId="0" borderId="0" xfId="0" applyAlignment="1">
      <alignment horizontal="center"/>
    </xf>
    <xf numFmtId="0" fontId="0" fillId="6" borderId="0" xfId="0" applyFill="1" applyAlignment="1">
      <alignment horizontal="center"/>
    </xf>
    <xf numFmtId="0" fontId="0" fillId="7" borderId="0" xfId="0" applyFill="1" applyAlignment="1">
      <alignment horizontal="center"/>
    </xf>
    <xf numFmtId="0" fontId="0" fillId="0" borderId="41" xfId="0" applyBorder="1" applyAlignment="1">
      <alignment horizontal="center"/>
    </xf>
    <xf numFmtId="0" fontId="0" fillId="0" borderId="48" xfId="0" applyBorder="1" applyAlignment="1">
      <alignment horizontal="center"/>
    </xf>
    <xf numFmtId="0" fontId="0" fillId="0" borderId="5" xfId="0" applyBorder="1" applyAlignment="1">
      <alignment horizontal="center"/>
    </xf>
    <xf numFmtId="0" fontId="0" fillId="0" borderId="42" xfId="0" applyBorder="1" applyAlignment="1">
      <alignment horizontal="center"/>
    </xf>
    <xf numFmtId="0" fontId="43" fillId="13" borderId="48" xfId="0" applyFont="1" applyFill="1" applyBorder="1" applyAlignment="1">
      <alignment horizontal="center"/>
    </xf>
    <xf numFmtId="0" fontId="43" fillId="13" borderId="42" xfId="0" applyFont="1" applyFill="1" applyBorder="1" applyAlignment="1">
      <alignment horizontal="center"/>
    </xf>
    <xf numFmtId="0" fontId="43" fillId="13" borderId="5" xfId="0" applyFont="1" applyFill="1" applyBorder="1" applyAlignment="1">
      <alignment horizontal="center"/>
    </xf>
  </cellXfs>
  <cellStyles count="3">
    <cellStyle name="Normal" xfId="0" builtinId="0"/>
    <cellStyle name="Normal 2" xfId="1" xr:uid="{00000000-0005-0000-0000-000001000000}"/>
    <cellStyle name="Normal 3" xfId="2" xr:uid="{00000000-0005-0000-0000-000002000000}"/>
  </cellStyles>
  <dxfs count="207">
    <dxf>
      <fill>
        <patternFill>
          <bgColor theme="0" tint="-0.14996795556505021"/>
        </patternFill>
      </fill>
    </dxf>
    <dxf>
      <fill>
        <patternFill>
          <bgColor theme="0" tint="-0.14996795556505021"/>
        </patternFill>
      </fill>
    </dxf>
    <dxf>
      <fill>
        <patternFill>
          <bgColor theme="0" tint="-0.14996795556505021"/>
        </patternFill>
      </fill>
    </dxf>
    <dxf>
      <font>
        <b/>
        <i val="0"/>
      </font>
      <fill>
        <patternFill>
          <bgColor theme="0" tint="-0.14996795556505021"/>
        </patternFill>
      </fill>
    </dxf>
    <dxf>
      <fill>
        <patternFill>
          <bgColor theme="0" tint="-0.14996795556505021"/>
        </patternFill>
      </fill>
    </dxf>
    <dxf>
      <font>
        <color theme="0"/>
      </font>
      <fill>
        <patternFill>
          <bgColor theme="1"/>
        </patternFill>
      </fill>
    </dxf>
    <dxf>
      <fill>
        <patternFill>
          <bgColor theme="0" tint="-0.14996795556505021"/>
        </patternFill>
      </fill>
    </dxf>
    <dxf>
      <font>
        <color theme="1"/>
      </font>
      <fill>
        <patternFill>
          <bgColor theme="0" tint="-0.14996795556505021"/>
        </patternFill>
      </fill>
    </dxf>
    <dxf>
      <fill>
        <patternFill>
          <bgColor theme="0" tint="-0.1499679555650502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theme="9" tint="0.59996337778862885"/>
        </patternFill>
      </fill>
    </dxf>
    <dxf>
      <font>
        <color theme="0"/>
      </font>
      <fill>
        <patternFill>
          <bgColor rgb="FFFF0000"/>
        </patternFill>
      </fill>
    </dxf>
    <dxf>
      <font>
        <color theme="0"/>
      </font>
    </dxf>
    <dxf>
      <font>
        <color theme="0"/>
      </font>
      <fill>
        <patternFill>
          <bgColor rgb="FFFF0000"/>
        </patternFill>
      </fill>
    </dxf>
    <dxf>
      <fill>
        <patternFill>
          <bgColor theme="9" tint="0.59996337778862885"/>
        </patternFill>
      </fill>
    </dxf>
    <dxf>
      <font>
        <b/>
        <i val="0"/>
      </font>
      <fill>
        <patternFill>
          <bgColor rgb="FFFFA3A3"/>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b/>
        <i val="0"/>
        <color rgb="FFFF0000"/>
      </font>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b/>
        <i val="0"/>
        <color rgb="FFFF0000"/>
      </font>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0"/>
      </font>
      <fill>
        <patternFill>
          <bgColor rgb="FFFF0000"/>
        </patternFill>
      </fill>
    </dxf>
    <dxf>
      <fill>
        <patternFill>
          <bgColor theme="9" tint="0.59996337778862885"/>
        </patternFill>
      </fill>
    </dxf>
    <dxf>
      <font>
        <color theme="0"/>
      </font>
      <border>
        <left/>
        <right/>
        <top/>
        <bottom/>
        <vertical/>
        <horizontal/>
      </border>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C000"/>
        </patternFill>
      </fill>
    </dxf>
    <dxf>
      <font>
        <b/>
        <i val="0"/>
      </font>
      <fill>
        <patternFill>
          <bgColor rgb="FF92D050"/>
        </patternFill>
      </fill>
    </dxf>
    <dxf>
      <border>
        <right/>
        <top/>
        <bottom/>
        <vertical/>
        <horizontal/>
      </border>
    </dxf>
    <dxf>
      <border>
        <right style="thin">
          <color auto="1"/>
        </right>
        <vertical/>
        <horizontal/>
      </border>
    </dxf>
    <dxf>
      <border>
        <left style="thin">
          <color auto="1"/>
        </left>
        <right/>
        <top/>
        <bottom/>
      </border>
    </dxf>
    <dxf>
      <fill>
        <patternFill>
          <bgColor rgb="FFFFA3A3"/>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A3A3"/>
        </patternFill>
      </fill>
    </dxf>
    <dxf>
      <font>
        <b/>
        <i val="0"/>
        <color theme="0"/>
      </font>
      <fill>
        <patternFill>
          <bgColor rgb="FFFF0000"/>
        </patternFill>
      </fill>
    </dxf>
    <dxf>
      <border>
        <left style="thin">
          <color auto="1"/>
        </left>
        <right style="thin">
          <color auto="1"/>
        </right>
        <top style="thin">
          <color auto="1"/>
        </top>
        <bottom style="thin">
          <color auto="1"/>
        </bottom>
        <vertical/>
        <horizontal/>
      </border>
    </dxf>
    <dxf>
      <font>
        <color theme="0"/>
      </font>
      <border>
        <left/>
        <right/>
        <top/>
        <bottom/>
        <vertical/>
        <horizontal/>
      </border>
    </dxf>
    <dxf>
      <font>
        <color theme="1"/>
      </font>
      <fill>
        <patternFill>
          <bgColor theme="9" tint="0.3999450666829432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A3A3"/>
        </patternFill>
      </fill>
    </dxf>
    <dxf>
      <fill>
        <patternFill>
          <bgColor rgb="FFFFA3A3"/>
        </patternFill>
      </fill>
    </dxf>
    <dxf>
      <fill>
        <patternFill>
          <bgColor rgb="FFFFA3A3"/>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39994506668294322"/>
        </patternFill>
      </fill>
    </dxf>
    <dxf>
      <fill>
        <patternFill>
          <bgColor rgb="FFFFFF65"/>
        </patternFill>
      </fill>
    </dxf>
    <dxf>
      <fill>
        <patternFill>
          <bgColor theme="0" tint="-4.9989318521683403E-2"/>
        </patternFill>
      </fill>
    </dxf>
    <dxf>
      <fill>
        <patternFill>
          <bgColor rgb="FFFF8383"/>
        </patternFill>
      </fill>
    </dxf>
    <dxf>
      <fill>
        <patternFill>
          <bgColor theme="8" tint="0.39994506668294322"/>
        </patternFill>
      </fill>
    </dxf>
    <dxf>
      <fill>
        <patternFill>
          <bgColor theme="9" tint="0.59996337778862885"/>
        </patternFill>
      </fill>
    </dxf>
    <dxf>
      <fill>
        <patternFill>
          <bgColor theme="9" tint="0.59996337778862885"/>
        </patternFill>
      </fill>
    </dxf>
    <dxf>
      <fill>
        <patternFill>
          <bgColor rgb="FFFFA3A3"/>
        </patternFill>
      </fill>
    </dxf>
    <dxf>
      <fill>
        <patternFill>
          <bgColor theme="0" tint="-0.14996795556505021"/>
        </patternFill>
      </fill>
    </dxf>
    <dxf>
      <font>
        <b/>
        <i val="0"/>
      </font>
      <fill>
        <patternFill>
          <bgColor rgb="FFFFA3A3"/>
        </patternFill>
      </fill>
    </dxf>
    <dxf>
      <fill>
        <patternFill>
          <bgColor rgb="FFFFA3A3"/>
        </patternFill>
      </fill>
    </dxf>
    <dxf>
      <fill>
        <patternFill>
          <bgColor theme="8" tint="0.39994506668294322"/>
        </patternFill>
      </fill>
    </dxf>
    <dxf>
      <fill>
        <patternFill>
          <bgColor rgb="FFFF8383"/>
        </patternFill>
      </fill>
    </dxf>
    <dxf>
      <fill>
        <patternFill>
          <bgColor rgb="FFFFFF65"/>
        </patternFill>
      </fill>
    </dxf>
    <dxf>
      <fill>
        <patternFill>
          <bgColor theme="0" tint="-4.9989318521683403E-2"/>
        </patternFill>
      </fill>
    </dxf>
    <dxf>
      <fill>
        <patternFill>
          <bgColor theme="9" tint="0.39994506668294322"/>
        </patternFill>
      </fill>
    </dxf>
    <dxf>
      <fill>
        <patternFill>
          <bgColor theme="9" tint="0.59996337778862885"/>
        </patternFill>
      </fill>
    </dxf>
    <dxf>
      <fill>
        <patternFill>
          <bgColor theme="9" tint="0.59996337778862885"/>
        </patternFill>
      </fill>
    </dxf>
    <dxf>
      <fill>
        <patternFill>
          <bgColor rgb="FFFF8383"/>
        </patternFill>
      </fill>
    </dxf>
    <dxf>
      <fill>
        <patternFill>
          <bgColor theme="8" tint="0.39994506668294322"/>
        </patternFill>
      </fill>
    </dxf>
    <dxf>
      <fill>
        <patternFill>
          <bgColor rgb="FFFFFF65"/>
        </patternFill>
      </fill>
    </dxf>
    <dxf>
      <fill>
        <patternFill>
          <bgColor theme="0" tint="-4.9989318521683403E-2"/>
        </patternFill>
      </fill>
    </dxf>
    <dxf>
      <fill>
        <patternFill>
          <bgColor theme="9" tint="0.39994506668294322"/>
        </patternFill>
      </fill>
    </dxf>
    <dxf>
      <font>
        <color theme="0"/>
      </font>
      <fill>
        <patternFill>
          <bgColor rgb="FFFF0000"/>
        </patternFill>
      </fill>
    </dxf>
    <dxf>
      <fill>
        <patternFill>
          <bgColor theme="9" tint="0.59996337778862885"/>
        </patternFill>
      </fill>
    </dxf>
    <dxf>
      <fill>
        <patternFill>
          <bgColor theme="9" tint="0.59996337778862885"/>
        </patternFill>
      </fill>
    </dxf>
    <dxf>
      <font>
        <color theme="0" tint="-0.14996795556505021"/>
      </font>
      <fill>
        <patternFill>
          <bgColor theme="0" tint="-0.14996795556505021"/>
        </patternFill>
      </fill>
      <border>
        <left/>
        <right/>
        <bottom/>
        <vertical/>
        <horizontal/>
      </border>
    </dxf>
    <dxf>
      <font>
        <color theme="0" tint="-0.14996795556505021"/>
      </font>
      <fill>
        <patternFill>
          <bgColor theme="0" tint="-0.14996795556505021"/>
        </patternFill>
      </fill>
      <border>
        <left/>
        <right/>
        <bottom/>
        <vertical/>
        <horizontal/>
      </border>
    </dxf>
    <dxf>
      <font>
        <color theme="0" tint="-0.14996795556505021"/>
      </font>
      <fill>
        <patternFill>
          <bgColor theme="0" tint="-0.14996795556505021"/>
        </patternFill>
      </fill>
      <border>
        <left/>
        <vertical/>
        <horizontal/>
      </border>
    </dxf>
    <dxf>
      <font>
        <b/>
        <i val="0"/>
        <color rgb="FFFF0000"/>
      </font>
      <fill>
        <patternFill>
          <bgColor theme="0" tint="-0.14996795556505021"/>
        </patternFill>
      </fill>
    </dxf>
    <dxf>
      <fill>
        <patternFill>
          <bgColor theme="9" tint="0.59996337778862885"/>
        </patternFill>
      </fill>
    </dxf>
    <dxf>
      <font>
        <color theme="0"/>
      </font>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ont>
        <b/>
        <i val="0"/>
      </font>
      <fill>
        <patternFill>
          <bgColor rgb="FFFFA3A3"/>
        </patternFill>
      </fill>
    </dxf>
    <dxf>
      <font>
        <color theme="1"/>
      </font>
    </dxf>
    <dxf>
      <font>
        <color theme="1"/>
      </font>
    </dxf>
    <dxf>
      <fill>
        <patternFill>
          <bgColor theme="0" tint="-0.14996795556505021"/>
        </patternFill>
      </fill>
    </dxf>
    <dxf>
      <font>
        <color rgb="FFFF0000"/>
      </font>
    </dxf>
    <dxf>
      <fill>
        <patternFill>
          <bgColor theme="9" tint="0.59996337778862885"/>
        </patternFill>
      </fill>
    </dxf>
    <dxf>
      <fill>
        <patternFill>
          <bgColor rgb="FFFFE28F"/>
        </patternFill>
      </fill>
    </dxf>
    <dxf>
      <fill>
        <patternFill>
          <bgColor theme="4" tint="0.59996337778862885"/>
        </patternFill>
      </fill>
    </dxf>
    <dxf>
      <font>
        <color theme="0"/>
      </font>
      <fill>
        <patternFill>
          <bgColor rgb="FFFF0000"/>
        </patternFill>
      </fill>
    </dxf>
    <dxf>
      <font>
        <b/>
        <i val="0"/>
        <color theme="0"/>
      </font>
      <fill>
        <patternFill>
          <bgColor rgb="FFFF0000"/>
        </patternFill>
      </fill>
    </dxf>
    <dxf>
      <fill>
        <patternFill>
          <bgColor rgb="FFE2A700"/>
        </patternFill>
      </fill>
    </dxf>
    <dxf>
      <font>
        <b/>
        <i val="0"/>
        <color theme="0"/>
      </font>
      <fill>
        <patternFill>
          <bgColor rgb="FFFF0000"/>
        </patternFill>
      </fill>
    </dxf>
    <dxf>
      <fill>
        <patternFill>
          <bgColor rgb="FFF9B8AD"/>
        </patternFill>
      </fill>
    </dxf>
    <dxf>
      <fill>
        <patternFill>
          <bgColor rgb="FF6DC0FF"/>
        </patternFill>
      </fill>
    </dxf>
    <dxf>
      <font>
        <color theme="0"/>
      </font>
      <fill>
        <patternFill>
          <bgColor rgb="FFFF0000"/>
        </patternFill>
      </fill>
    </dxf>
    <dxf>
      <font>
        <b/>
        <i val="0"/>
        <color rgb="FFFF0000"/>
      </font>
      <fill>
        <patternFill>
          <bgColor theme="0" tint="-0.24994659260841701"/>
        </patternFill>
      </fill>
    </dxf>
    <dxf>
      <font>
        <color theme="0" tint="-0.14996795556505021"/>
      </font>
    </dxf>
    <dxf>
      <font>
        <color theme="0"/>
      </font>
      <fill>
        <patternFill>
          <bgColor rgb="FFFF0000"/>
        </patternFill>
      </fill>
    </dxf>
    <dxf>
      <font>
        <b/>
        <i val="0"/>
        <color theme="0"/>
      </font>
      <fill>
        <patternFill>
          <bgColor rgb="FFFF0000"/>
        </patternFill>
      </fill>
    </dxf>
    <dxf>
      <fill>
        <patternFill>
          <bgColor theme="9" tint="0.59996337778862885"/>
        </patternFill>
      </fill>
    </dxf>
    <dxf>
      <fill>
        <patternFill>
          <bgColor theme="9" tint="0.59996337778862885"/>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9" tint="0.59996337778862885"/>
        </patternFill>
      </fill>
    </dxf>
    <dxf>
      <font>
        <color theme="0"/>
      </font>
      <fill>
        <patternFill>
          <bgColor rgb="FFFF0000"/>
        </patternFill>
      </fill>
    </dxf>
    <dxf>
      <font>
        <color rgb="FFFF0000"/>
      </font>
    </dxf>
    <dxf>
      <font>
        <color theme="0"/>
      </font>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0"/>
      </font>
      <fill>
        <patternFill>
          <bgColor rgb="FFFF0000"/>
        </patternFill>
      </fill>
    </dxf>
    <dxf>
      <font>
        <color theme="0"/>
      </font>
      <fill>
        <patternFill>
          <bgColor rgb="FFFF0000"/>
        </patternFill>
      </fill>
    </dxf>
    <dxf>
      <fill>
        <patternFill>
          <bgColor theme="9" tint="0.59996337778862885"/>
        </patternFill>
      </fill>
    </dxf>
    <dxf>
      <fill>
        <patternFill>
          <bgColor theme="9" tint="0.59996337778862885"/>
        </patternFill>
      </fill>
    </dxf>
    <dxf>
      <border>
        <bottom style="thin">
          <color auto="1"/>
        </bottom>
        <vertical/>
        <horizontal/>
      </border>
    </dxf>
    <dxf>
      <font>
        <color theme="0"/>
      </font>
    </dxf>
    <dxf>
      <fill>
        <patternFill>
          <bgColor theme="9" tint="0.59996337778862885"/>
        </patternFill>
      </fill>
    </dxf>
    <dxf>
      <fill>
        <patternFill>
          <bgColor theme="9" tint="0.59996337778862885"/>
        </patternFill>
      </fill>
    </dxf>
    <dxf>
      <font>
        <color theme="0"/>
      </font>
    </dxf>
    <dxf>
      <fill>
        <patternFill>
          <bgColor rgb="FFFF0000"/>
        </patternFill>
      </fill>
    </dxf>
    <dxf>
      <fill>
        <patternFill>
          <bgColor theme="9" tint="0.39994506668294322"/>
        </patternFill>
      </fill>
    </dxf>
    <dxf>
      <font>
        <color theme="0"/>
      </font>
      <fill>
        <patternFill>
          <bgColor rgb="FFFF0000"/>
        </patternFill>
      </fill>
    </dxf>
    <dxf>
      <font>
        <color theme="0"/>
      </font>
      <fill>
        <patternFill>
          <bgColor rgb="FF7030A0"/>
        </patternFill>
      </fill>
    </dxf>
    <dxf>
      <fill>
        <patternFill>
          <bgColor theme="8" tint="0.39994506668294322"/>
        </patternFill>
      </fill>
    </dxf>
    <dxf>
      <fill>
        <patternFill>
          <bgColor theme="7" tint="0.59996337778862885"/>
        </patternFill>
      </fill>
    </dxf>
    <dxf>
      <fill>
        <patternFill>
          <bgColor rgb="FFFFFF00"/>
        </patternFill>
      </fill>
    </dxf>
    <dxf>
      <fill>
        <patternFill>
          <bgColor theme="9" tint="0.39994506668294322"/>
        </patternFill>
      </fill>
    </dxf>
    <dxf>
      <fill>
        <patternFill>
          <bgColor rgb="FFFFA3A3"/>
        </patternFill>
      </fill>
    </dxf>
    <dxf>
      <fill>
        <patternFill>
          <bgColor theme="7" tint="0.59996337778862885"/>
        </patternFill>
      </fill>
    </dxf>
    <dxf>
      <font>
        <color theme="0"/>
      </font>
    </dxf>
    <dxf>
      <font>
        <color rgb="FFFF0000"/>
      </font>
    </dxf>
    <dxf>
      <font>
        <color theme="0"/>
      </font>
    </dxf>
    <dxf>
      <font>
        <color rgb="FFFF0000"/>
      </font>
    </dxf>
    <dxf>
      <font>
        <color rgb="FFFF0000"/>
      </font>
    </dxf>
    <dxf>
      <font>
        <color rgb="FFFF0000"/>
      </font>
    </dxf>
    <dxf>
      <fill>
        <patternFill>
          <bgColor rgb="FFFFA3A3"/>
        </patternFill>
      </fill>
    </dxf>
    <dxf>
      <font>
        <color theme="0"/>
      </font>
    </dxf>
    <dxf>
      <fill>
        <patternFill>
          <bgColor theme="7" tint="0.59996337778862885"/>
        </patternFill>
      </fill>
    </dxf>
    <dxf>
      <font>
        <color theme="0"/>
      </font>
    </dxf>
    <dxf>
      <font>
        <color rgb="FFFF0000"/>
      </font>
    </dxf>
    <dxf>
      <font>
        <color theme="0"/>
      </font>
      <fill>
        <patternFill>
          <bgColor rgb="FFFF0000"/>
        </patternFill>
      </fill>
    </dxf>
    <dxf>
      <font>
        <color auto="1"/>
      </font>
      <fill>
        <patternFill>
          <bgColor theme="9" tint="0.59996337778862885"/>
        </patternFill>
      </fill>
    </dxf>
    <dxf>
      <fill>
        <patternFill>
          <bgColor rgb="FFFFA3A3"/>
        </patternFill>
      </fill>
    </dxf>
    <dxf>
      <fill>
        <patternFill>
          <bgColor theme="7" tint="0.59996337778862885"/>
        </patternFill>
      </fill>
    </dxf>
    <dxf>
      <fill>
        <patternFill>
          <bgColor theme="7" tint="0.59996337778862885"/>
        </patternFill>
      </fill>
    </dxf>
    <dxf>
      <fill>
        <patternFill>
          <bgColor theme="8" tint="0.39994506668294322"/>
        </patternFill>
      </fill>
    </dxf>
    <dxf>
      <fill>
        <patternFill>
          <bgColor theme="0" tint="-4.9989318521683403E-2"/>
        </patternFill>
      </fill>
    </dxf>
    <dxf>
      <fill>
        <patternFill>
          <bgColor rgb="FFFFFF65"/>
        </patternFill>
      </fill>
    </dxf>
    <dxf>
      <fill>
        <patternFill>
          <bgColor theme="9" tint="0.39994506668294322"/>
        </patternFill>
      </fill>
    </dxf>
    <dxf>
      <fill>
        <patternFill>
          <bgColor rgb="FFFF8383"/>
        </patternFill>
      </fill>
    </dxf>
    <dxf>
      <font>
        <color theme="0"/>
      </font>
      <fill>
        <patternFill>
          <bgColor theme="0"/>
        </patternFill>
      </fill>
      <border>
        <left/>
        <right/>
        <bottom/>
        <vertical/>
        <horizontal/>
      </border>
    </dxf>
    <dxf>
      <fill>
        <patternFill>
          <bgColor rgb="FFFFFF65"/>
        </patternFill>
      </fill>
    </dxf>
    <dxf>
      <fill>
        <patternFill>
          <bgColor rgb="FFFF8383"/>
        </patternFill>
      </fill>
    </dxf>
    <dxf>
      <fill>
        <patternFill>
          <bgColor theme="8" tint="0.39994506668294322"/>
        </patternFill>
      </fill>
    </dxf>
    <dxf>
      <fill>
        <patternFill>
          <bgColor theme="9" tint="0.39994506668294322"/>
        </patternFill>
      </fill>
    </dxf>
    <dxf>
      <fill>
        <patternFill>
          <bgColor theme="0" tint="-4.9989318521683403E-2"/>
        </patternFill>
      </fill>
    </dxf>
  </dxfs>
  <tableStyles count="0" defaultTableStyle="TableStyleMedium2" defaultPivotStyle="PivotStyleLight16"/>
  <colors>
    <mruColors>
      <color rgb="FFFFA3A3"/>
      <color rgb="FFFF8989"/>
      <color rgb="FFFFABAB"/>
      <color rgb="FFFFB3B3"/>
      <color rgb="FF6DC0FF"/>
      <color rgb="FFE2A700"/>
      <color rgb="FFF9B8AD"/>
      <color rgb="FF81DEFF"/>
      <color rgb="FF2DA5FF"/>
      <color rgb="FFDEB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42</xdr:col>
      <xdr:colOff>282575</xdr:colOff>
      <xdr:row>0</xdr:row>
      <xdr:rowOff>139700</xdr:rowOff>
    </xdr:from>
    <xdr:to>
      <xdr:col>45</xdr:col>
      <xdr:colOff>406936</xdr:colOff>
      <xdr:row>3</xdr:row>
      <xdr:rowOff>153542</xdr:rowOff>
    </xdr:to>
    <xdr:pic>
      <xdr:nvPicPr>
        <xdr:cNvPr id="3" name="image1.png">
          <a:extLst>
            <a:ext uri="{FF2B5EF4-FFF2-40B4-BE49-F238E27FC236}">
              <a16:creationId xmlns:a16="http://schemas.microsoft.com/office/drawing/2014/main" id="{E98B096D-5D23-4309-9509-98F7285AC0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227925" y="139700"/>
          <a:ext cx="1896011" cy="499617"/>
        </a:xfrm>
        <a:prstGeom prst="rect">
          <a:avLst/>
        </a:prstGeom>
      </xdr:spPr>
    </xdr:pic>
    <xdr:clientData/>
  </xdr:twoCellAnchor>
  <xdr:twoCellAnchor editAs="oneCell">
    <xdr:from>
      <xdr:col>42</xdr:col>
      <xdr:colOff>285750</xdr:colOff>
      <xdr:row>4</xdr:row>
      <xdr:rowOff>142875</xdr:rowOff>
    </xdr:from>
    <xdr:to>
      <xdr:col>44</xdr:col>
      <xdr:colOff>46999</xdr:colOff>
      <xdr:row>8</xdr:row>
      <xdr:rowOff>22972</xdr:rowOff>
    </xdr:to>
    <xdr:pic>
      <xdr:nvPicPr>
        <xdr:cNvPr id="6" name="Bildobjekt 5">
          <a:extLst>
            <a:ext uri="{FF2B5EF4-FFF2-40B4-BE49-F238E27FC236}">
              <a16:creationId xmlns:a16="http://schemas.microsoft.com/office/drawing/2014/main" id="{AD618AF1-A077-71D7-6723-80B908BDF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231100" y="800100"/>
          <a:ext cx="942349"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120650</xdr:colOff>
      <xdr:row>0</xdr:row>
      <xdr:rowOff>76200</xdr:rowOff>
    </xdr:from>
    <xdr:to>
      <xdr:col>2</xdr:col>
      <xdr:colOff>324558</xdr:colOff>
      <xdr:row>3</xdr:row>
      <xdr:rowOff>95250</xdr:rowOff>
    </xdr:to>
    <xdr:pic>
      <xdr:nvPicPr>
        <xdr:cNvPr id="5" name="Bildobjekt 4">
          <a:extLst>
            <a:ext uri="{FF2B5EF4-FFF2-40B4-BE49-F238E27FC236}">
              <a16:creationId xmlns:a16="http://schemas.microsoft.com/office/drawing/2014/main" id="{E060F72E-74B4-4B0E-BD3D-AA836F382C0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0650" y="76200"/>
          <a:ext cx="1004008" cy="504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19050</xdr:colOff>
      <xdr:row>0</xdr:row>
      <xdr:rowOff>0</xdr:rowOff>
    </xdr:from>
    <xdr:to>
      <xdr:col>27</xdr:col>
      <xdr:colOff>39858</xdr:colOff>
      <xdr:row>1</xdr:row>
      <xdr:rowOff>357719</xdr:rowOff>
    </xdr:to>
    <xdr:pic>
      <xdr:nvPicPr>
        <xdr:cNvPr id="2" name="image1.png">
          <a:extLst>
            <a:ext uri="{FF2B5EF4-FFF2-40B4-BE49-F238E27FC236}">
              <a16:creationId xmlns:a16="http://schemas.microsoft.com/office/drawing/2014/main" id="{64BA0393-23CD-4860-B815-C01A55EA43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373350" y="0"/>
          <a:ext cx="1868658" cy="510119"/>
        </a:xfrm>
        <a:prstGeom prst="rect">
          <a:avLst/>
        </a:prstGeom>
      </xdr:spPr>
    </xdr:pic>
    <xdr:clientData/>
  </xdr:twoCellAnchor>
  <xdr:twoCellAnchor editAs="oneCell">
    <xdr:from>
      <xdr:col>23</xdr:col>
      <xdr:colOff>57150</xdr:colOff>
      <xdr:row>1</xdr:row>
      <xdr:rowOff>440348</xdr:rowOff>
    </xdr:from>
    <xdr:to>
      <xdr:col>25</xdr:col>
      <xdr:colOff>352269</xdr:colOff>
      <xdr:row>4</xdr:row>
      <xdr:rowOff>364148</xdr:rowOff>
    </xdr:to>
    <xdr:pic>
      <xdr:nvPicPr>
        <xdr:cNvPr id="5" name="Bildobjekt 4">
          <a:extLst>
            <a:ext uri="{FF2B5EF4-FFF2-40B4-BE49-F238E27FC236}">
              <a16:creationId xmlns:a16="http://schemas.microsoft.com/office/drawing/2014/main" id="{0850ECE3-7894-2404-0FE8-7C319BEE344D}"/>
            </a:ext>
          </a:extLst>
        </xdr:cNvPr>
        <xdr:cNvPicPr>
          <a:picLocks noChangeAspect="1"/>
        </xdr:cNvPicPr>
      </xdr:nvPicPr>
      <xdr:blipFill>
        <a:blip xmlns:r="http://schemas.openxmlformats.org/officeDocument/2006/relationships" r:embed="rId2"/>
        <a:stretch>
          <a:fillRect/>
        </a:stretch>
      </xdr:blipFill>
      <xdr:spPr>
        <a:xfrm>
          <a:off x="15411450" y="592748"/>
          <a:ext cx="961869" cy="733425"/>
        </a:xfrm>
        <a:prstGeom prst="rect">
          <a:avLst/>
        </a:prstGeom>
      </xdr:spPr>
    </xdr:pic>
    <xdr:clientData/>
  </xdr:twoCellAnchor>
  <xdr:twoCellAnchor>
    <xdr:from>
      <xdr:col>0</xdr:col>
      <xdr:colOff>133350</xdr:colOff>
      <xdr:row>0</xdr:row>
      <xdr:rowOff>114300</xdr:rowOff>
    </xdr:from>
    <xdr:to>
      <xdr:col>1</xdr:col>
      <xdr:colOff>514350</xdr:colOff>
      <xdr:row>2</xdr:row>
      <xdr:rowOff>99646</xdr:rowOff>
    </xdr:to>
    <xdr:pic>
      <xdr:nvPicPr>
        <xdr:cNvPr id="6" name="Bild 2" descr="http://sumsim.se/image.axd?picture=/logotyper/SvSimidrott.png">
          <a:extLst>
            <a:ext uri="{FF2B5EF4-FFF2-40B4-BE49-F238E27FC236}">
              <a16:creationId xmlns:a16="http://schemas.microsoft.com/office/drawing/2014/main" id="{D4753738-8EE6-49E2-8A2F-AC91493F764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3350" y="114300"/>
          <a:ext cx="1289050" cy="645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K47"/>
  <sheetViews>
    <sheetView workbookViewId="0">
      <selection activeCell="K3" sqref="K3"/>
    </sheetView>
  </sheetViews>
  <sheetFormatPr baseColWidth="10" defaultColWidth="9.1796875" defaultRowHeight="14.5" x14ac:dyDescent="0.35"/>
  <cols>
    <col min="1" max="1" width="42" customWidth="1"/>
    <col min="6" max="6" width="2.7265625" customWidth="1"/>
    <col min="11" max="11" width="45.81640625" customWidth="1"/>
  </cols>
  <sheetData>
    <row r="1" spans="1:11" ht="21" x14ac:dyDescent="0.5">
      <c r="A1" s="104" t="s">
        <v>1272</v>
      </c>
      <c r="K1" s="345" t="s">
        <v>2015</v>
      </c>
    </row>
    <row r="2" spans="1:11" ht="21" x14ac:dyDescent="0.5">
      <c r="A2" s="104"/>
      <c r="K2" s="346"/>
    </row>
    <row r="3" spans="1:11" ht="15.5" x14ac:dyDescent="0.35">
      <c r="A3" s="133" t="s">
        <v>1376</v>
      </c>
      <c r="K3" s="220" t="s">
        <v>2331</v>
      </c>
    </row>
    <row r="4" spans="1:11" x14ac:dyDescent="0.35">
      <c r="A4" s="110" t="s">
        <v>1278</v>
      </c>
      <c r="K4" s="220" t="s">
        <v>2329</v>
      </c>
    </row>
    <row r="5" spans="1:11" x14ac:dyDescent="0.35">
      <c r="A5" t="s">
        <v>1269</v>
      </c>
      <c r="K5" s="220" t="s">
        <v>2332</v>
      </c>
    </row>
    <row r="6" spans="1:11" x14ac:dyDescent="0.35">
      <c r="A6" t="s">
        <v>1256</v>
      </c>
      <c r="K6" s="220" t="s">
        <v>2330</v>
      </c>
    </row>
    <row r="7" spans="1:11" x14ac:dyDescent="0.35">
      <c r="A7" t="s">
        <v>1462</v>
      </c>
      <c r="K7" s="220" t="s">
        <v>2326</v>
      </c>
    </row>
    <row r="8" spans="1:11" x14ac:dyDescent="0.35">
      <c r="A8" t="s">
        <v>2016</v>
      </c>
      <c r="K8" s="220" t="s">
        <v>2333</v>
      </c>
    </row>
    <row r="9" spans="1:11" x14ac:dyDescent="0.35">
      <c r="A9" t="s">
        <v>1465</v>
      </c>
      <c r="K9" s="220" t="s">
        <v>2334</v>
      </c>
    </row>
    <row r="10" spans="1:11" x14ac:dyDescent="0.35">
      <c r="A10" t="s">
        <v>2519</v>
      </c>
      <c r="K10" s="220" t="s">
        <v>2324</v>
      </c>
    </row>
    <row r="11" spans="1:11" x14ac:dyDescent="0.35">
      <c r="A11" t="s">
        <v>1257</v>
      </c>
      <c r="K11" s="220" t="s">
        <v>2327</v>
      </c>
    </row>
    <row r="12" spans="1:11" x14ac:dyDescent="0.35">
      <c r="A12" t="s">
        <v>1940</v>
      </c>
      <c r="K12" s="220" t="s">
        <v>2325</v>
      </c>
    </row>
    <row r="13" spans="1:11" x14ac:dyDescent="0.35">
      <c r="A13" t="s">
        <v>1259</v>
      </c>
      <c r="K13" s="220" t="s">
        <v>2328</v>
      </c>
    </row>
    <row r="14" spans="1:11" x14ac:dyDescent="0.35">
      <c r="A14" t="s">
        <v>1258</v>
      </c>
      <c r="K14" s="220"/>
    </row>
    <row r="15" spans="1:11" x14ac:dyDescent="0.35">
      <c r="A15" t="s">
        <v>1260</v>
      </c>
      <c r="K15" s="220"/>
    </row>
    <row r="16" spans="1:11" x14ac:dyDescent="0.35">
      <c r="K16" s="220"/>
    </row>
    <row r="17" spans="1:11" x14ac:dyDescent="0.35">
      <c r="A17" t="s">
        <v>1941</v>
      </c>
      <c r="K17" s="220"/>
    </row>
    <row r="18" spans="1:11" x14ac:dyDescent="0.35">
      <c r="A18" t="s">
        <v>1261</v>
      </c>
      <c r="K18" s="220"/>
    </row>
    <row r="19" spans="1:11" x14ac:dyDescent="0.35">
      <c r="A19" t="s">
        <v>1264</v>
      </c>
      <c r="K19" s="220"/>
    </row>
    <row r="20" spans="1:11" x14ac:dyDescent="0.35">
      <c r="A20" s="131" t="s">
        <v>1942</v>
      </c>
      <c r="K20" s="220"/>
    </row>
    <row r="21" spans="1:11" x14ac:dyDescent="0.35">
      <c r="A21" t="s">
        <v>1262</v>
      </c>
      <c r="K21" s="220"/>
    </row>
    <row r="22" spans="1:11" x14ac:dyDescent="0.35">
      <c r="A22" s="131" t="s">
        <v>1943</v>
      </c>
      <c r="K22" s="220"/>
    </row>
    <row r="23" spans="1:11" x14ac:dyDescent="0.35">
      <c r="A23" t="s">
        <v>1944</v>
      </c>
      <c r="K23" s="220"/>
    </row>
    <row r="24" spans="1:11" x14ac:dyDescent="0.35">
      <c r="A24" s="131" t="s">
        <v>1943</v>
      </c>
      <c r="K24" s="220"/>
    </row>
    <row r="25" spans="1:11" x14ac:dyDescent="0.35">
      <c r="K25" s="220"/>
    </row>
    <row r="26" spans="1:11" x14ac:dyDescent="0.35">
      <c r="A26" t="s">
        <v>1945</v>
      </c>
      <c r="K26" s="220"/>
    </row>
    <row r="27" spans="1:11" x14ac:dyDescent="0.35">
      <c r="A27" s="197" t="s">
        <v>1948</v>
      </c>
      <c r="B27" s="197"/>
      <c r="C27" s="197"/>
      <c r="D27" s="197"/>
      <c r="E27" s="197"/>
      <c r="F27" s="197"/>
      <c r="G27" s="197"/>
      <c r="H27" s="197"/>
      <c r="I27" s="197"/>
      <c r="J27" s="197"/>
      <c r="K27" s="220"/>
    </row>
    <row r="28" spans="1:11" x14ac:dyDescent="0.35">
      <c r="A28" s="198" t="s">
        <v>1949</v>
      </c>
      <c r="B28" s="198"/>
      <c r="C28" s="198"/>
      <c r="D28" s="198"/>
      <c r="E28" s="198"/>
      <c r="F28" s="198"/>
      <c r="G28" s="198"/>
      <c r="H28" s="198"/>
      <c r="I28" s="198"/>
      <c r="J28" s="198"/>
    </row>
    <row r="29" spans="1:11" x14ac:dyDescent="0.35">
      <c r="A29" t="s">
        <v>1950</v>
      </c>
    </row>
    <row r="30" spans="1:11" x14ac:dyDescent="0.35">
      <c r="A30" s="195" t="s">
        <v>1946</v>
      </c>
      <c r="B30" s="195"/>
      <c r="C30" s="195"/>
      <c r="D30" s="195"/>
      <c r="E30" s="195"/>
      <c r="F30" s="195"/>
      <c r="G30" s="195"/>
      <c r="H30" s="195"/>
      <c r="I30" s="195"/>
      <c r="J30" s="195"/>
    </row>
    <row r="31" spans="1:11" x14ac:dyDescent="0.35">
      <c r="A31" t="s">
        <v>2312</v>
      </c>
    </row>
    <row r="32" spans="1:11" x14ac:dyDescent="0.35">
      <c r="A32" t="s">
        <v>1263</v>
      </c>
    </row>
    <row r="33" spans="1:1" x14ac:dyDescent="0.35">
      <c r="A33" t="s">
        <v>1947</v>
      </c>
    </row>
    <row r="34" spans="1:1" x14ac:dyDescent="0.35">
      <c r="A34" t="s">
        <v>1951</v>
      </c>
    </row>
    <row r="35" spans="1:1" x14ac:dyDescent="0.35">
      <c r="A35" t="s">
        <v>1265</v>
      </c>
    </row>
    <row r="36" spans="1:1" x14ac:dyDescent="0.35">
      <c r="A36" t="s">
        <v>1266</v>
      </c>
    </row>
    <row r="37" spans="1:1" x14ac:dyDescent="0.35">
      <c r="A37" t="s">
        <v>1267</v>
      </c>
    </row>
    <row r="38" spans="1:1" x14ac:dyDescent="0.35">
      <c r="A38" t="s">
        <v>1268</v>
      </c>
    </row>
    <row r="39" spans="1:1" x14ac:dyDescent="0.35">
      <c r="A39" t="s">
        <v>1270</v>
      </c>
    </row>
    <row r="40" spans="1:1" x14ac:dyDescent="0.35">
      <c r="A40" t="s">
        <v>2320</v>
      </c>
    </row>
    <row r="41" spans="1:1" x14ac:dyDescent="0.35">
      <c r="A41" t="s">
        <v>2442</v>
      </c>
    </row>
    <row r="43" spans="1:1" ht="15.5" x14ac:dyDescent="0.35">
      <c r="A43" s="133" t="s">
        <v>1954</v>
      </c>
    </row>
    <row r="44" spans="1:1" x14ac:dyDescent="0.35">
      <c r="A44" t="s">
        <v>1466</v>
      </c>
    </row>
    <row r="45" spans="1:1" x14ac:dyDescent="0.35">
      <c r="A45" t="s">
        <v>1271</v>
      </c>
    </row>
    <row r="46" spans="1:1" x14ac:dyDescent="0.35">
      <c r="A46" t="s">
        <v>1952</v>
      </c>
    </row>
    <row r="47" spans="1:1" x14ac:dyDescent="0.35">
      <c r="A47" t="s">
        <v>1953</v>
      </c>
    </row>
  </sheetData>
  <sheetProtection algorithmName="SHA-512" hashValue="95vO1KE6FE4CZmkiZ1GZ8rQs9cdu7xeQLmYbqyY6MJz1eOAV33T/a+LsvjLErmXvQIQ/BY8ZGO/Uy/4Kp9rjmA==" saltValue="Mal9Cyi7OqxrpNWzRimzwg==" spinCount="100000" sheet="1" objects="1" scenarios="1"/>
  <sortState xmlns:xlrd2="http://schemas.microsoft.com/office/spreadsheetml/2017/richdata2" ref="K3:K13">
    <sortCondition ref="K3:K13"/>
  </sortState>
  <mergeCells count="1">
    <mergeCell ref="K1: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HW173"/>
  <sheetViews>
    <sheetView tabSelected="1" zoomScale="85" zoomScaleNormal="85" workbookViewId="0">
      <selection activeCell="F5" sqref="F5:I5"/>
    </sheetView>
  </sheetViews>
  <sheetFormatPr baseColWidth="10" defaultColWidth="8.81640625" defaultRowHeight="12.5" x14ac:dyDescent="0.35"/>
  <cols>
    <col min="1" max="4" width="5.7265625" style="14" customWidth="1"/>
    <col min="5" max="5" width="4.7265625" style="14" customWidth="1"/>
    <col min="6" max="6" width="29" style="12" customWidth="1"/>
    <col min="7" max="8" width="7.7265625" style="14" customWidth="1"/>
    <col min="9" max="9" width="7.7265625" style="12" customWidth="1"/>
    <col min="10" max="37" width="6.81640625" style="12" customWidth="1"/>
    <col min="38" max="39" width="6.81640625" style="91" customWidth="1"/>
    <col min="40" max="48" width="8.81640625" style="91" customWidth="1"/>
    <col min="49" max="52" width="8.81640625" style="91" hidden="1" customWidth="1"/>
    <col min="53" max="53" width="10.7265625" style="91" hidden="1" customWidth="1"/>
    <col min="54" max="54" width="8.81640625" style="91" hidden="1" customWidth="1"/>
    <col min="55" max="55" width="19.81640625" style="91" hidden="1" customWidth="1"/>
    <col min="56" max="60" width="8.81640625" style="91" hidden="1" customWidth="1"/>
    <col min="61" max="61" width="20.453125" style="91" hidden="1" customWidth="1"/>
    <col min="62" max="62" width="21.1796875" style="91" hidden="1" customWidth="1"/>
    <col min="63" max="66" width="8.81640625" style="91" hidden="1" customWidth="1"/>
    <col min="67" max="67" width="15.453125" style="91" hidden="1" customWidth="1"/>
    <col min="68" max="69" width="8.81640625" style="91" hidden="1" customWidth="1"/>
    <col min="70" max="70" width="9.453125" style="91" hidden="1" customWidth="1"/>
    <col min="71" max="71" width="10.1796875" style="91" hidden="1" customWidth="1"/>
    <col min="72" max="72" width="8.81640625" style="91" hidden="1" customWidth="1"/>
    <col min="73" max="74" width="12.26953125" style="91" hidden="1" customWidth="1"/>
    <col min="75" max="75" width="11.81640625" style="91" hidden="1" customWidth="1"/>
    <col min="76" max="91" width="8.81640625" style="91" hidden="1" customWidth="1"/>
    <col min="92" max="144" width="8.81640625" style="88" hidden="1" customWidth="1"/>
    <col min="145" max="191" width="8.81640625" style="91" hidden="1" customWidth="1"/>
    <col min="192" max="192" width="13.81640625" style="91" hidden="1" customWidth="1"/>
    <col min="193" max="206" width="8.81640625" style="91" hidden="1" customWidth="1"/>
    <col min="207" max="207" width="10.1796875" style="12" hidden="1" customWidth="1"/>
    <col min="208" max="217" width="8.81640625" style="12" hidden="1" customWidth="1"/>
    <col min="218" max="221" width="8.81640625" style="91" hidden="1" customWidth="1"/>
    <col min="222" max="222" width="10.1796875" style="91" hidden="1" customWidth="1"/>
    <col min="223" max="231" width="8.81640625" style="91" hidden="1" customWidth="1"/>
    <col min="232" max="16384" width="8.81640625" style="12"/>
  </cols>
  <sheetData>
    <row r="1" spans="1:231" ht="12.75" customHeight="1" x14ac:dyDescent="0.35">
      <c r="A1" s="10"/>
      <c r="B1" s="10"/>
      <c r="C1" s="10"/>
      <c r="D1" s="10"/>
      <c r="E1" s="10"/>
      <c r="F1" s="11"/>
      <c r="G1" s="319" t="s">
        <v>0</v>
      </c>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c r="AN1" s="157"/>
      <c r="AO1" s="11"/>
      <c r="AQ1" s="115"/>
      <c r="AR1" s="115"/>
      <c r="AS1" s="115"/>
      <c r="AT1" s="115"/>
      <c r="AU1" s="115"/>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1"/>
      <c r="BU1" s="122"/>
      <c r="BV1" s="122"/>
      <c r="BW1" s="122"/>
      <c r="BX1" s="122"/>
      <c r="BY1" s="122"/>
      <c r="BZ1" s="122"/>
      <c r="CA1" s="122"/>
      <c r="CB1" s="122"/>
      <c r="CC1" s="122"/>
      <c r="CD1" s="122"/>
      <c r="CE1" s="122"/>
      <c r="CF1" s="122"/>
      <c r="CG1" s="122"/>
      <c r="CH1" s="122"/>
      <c r="CI1" s="122"/>
      <c r="CJ1" s="122"/>
      <c r="CK1" s="122"/>
      <c r="CL1" s="122"/>
      <c r="CM1" s="122"/>
      <c r="CN1" s="122"/>
      <c r="CO1" s="122"/>
      <c r="CP1" s="122"/>
      <c r="CQ1" s="123"/>
      <c r="CR1" s="123"/>
      <c r="CS1" s="123"/>
      <c r="CT1" s="123"/>
      <c r="CU1" s="123"/>
      <c r="CV1" s="123"/>
      <c r="CW1" s="123"/>
      <c r="CX1" s="123"/>
      <c r="CY1" s="123"/>
      <c r="CZ1" s="123"/>
      <c r="DA1" s="123"/>
      <c r="DB1" s="123"/>
      <c r="DC1" s="123"/>
      <c r="DD1" s="123"/>
      <c r="DE1" s="123"/>
      <c r="DF1" s="123"/>
      <c r="DG1" s="123"/>
      <c r="DH1" s="123"/>
      <c r="DI1" s="123"/>
      <c r="DJ1" s="123"/>
      <c r="DK1" s="123"/>
      <c r="DL1" s="123"/>
      <c r="DM1" s="123"/>
      <c r="DN1" s="123"/>
      <c r="DO1" s="123"/>
      <c r="DP1" s="123"/>
      <c r="DQ1" s="123"/>
      <c r="DR1" s="123"/>
      <c r="DS1" s="123"/>
      <c r="DT1" s="123"/>
      <c r="DU1" s="123"/>
      <c r="DV1" s="123"/>
      <c r="DW1" s="123"/>
      <c r="DX1" s="123"/>
      <c r="DY1" s="123"/>
      <c r="DZ1" s="123"/>
      <c r="EA1" s="123"/>
      <c r="EB1" s="123"/>
      <c r="EC1" s="123"/>
      <c r="ED1" s="123"/>
      <c r="EE1" s="123"/>
      <c r="EF1" s="123"/>
      <c r="EG1" s="123"/>
      <c r="EH1" s="123"/>
      <c r="EI1" s="123"/>
      <c r="EJ1" s="123"/>
      <c r="EK1" s="123"/>
      <c r="EL1" s="123"/>
      <c r="EM1" s="123"/>
      <c r="EN1" s="123"/>
      <c r="EO1" s="123"/>
      <c r="EP1" s="123"/>
      <c r="EQ1" s="123"/>
      <c r="ER1" s="123"/>
      <c r="ES1" s="123"/>
      <c r="ET1" s="123"/>
      <c r="EU1" s="123"/>
      <c r="EV1" s="123"/>
      <c r="EW1" s="123"/>
      <c r="EX1" s="123"/>
      <c r="EY1" s="123"/>
      <c r="EZ1" s="123"/>
      <c r="FA1" s="123"/>
      <c r="FB1" s="123"/>
      <c r="FC1" s="123"/>
      <c r="FD1" s="123"/>
      <c r="FE1" s="123"/>
      <c r="FF1" s="123"/>
      <c r="FG1" s="123"/>
      <c r="FH1" s="123"/>
      <c r="FI1" s="123"/>
      <c r="FJ1" s="123"/>
      <c r="FK1" s="123"/>
      <c r="FL1" s="123"/>
      <c r="FM1" s="123"/>
      <c r="FN1" s="123"/>
      <c r="FO1" s="123"/>
      <c r="FP1" s="123"/>
      <c r="FQ1" s="123"/>
      <c r="FR1" s="123"/>
      <c r="FS1" s="123"/>
      <c r="FT1" s="123"/>
      <c r="FU1" s="123"/>
      <c r="FV1" s="123"/>
      <c r="FW1" s="123"/>
      <c r="FX1" s="123"/>
      <c r="FY1" s="123"/>
      <c r="FZ1" s="123"/>
      <c r="GA1" s="123"/>
      <c r="GB1" s="123"/>
      <c r="GC1" s="123"/>
      <c r="GD1" s="123"/>
      <c r="GE1" s="123"/>
      <c r="GF1" s="123"/>
      <c r="GG1" s="123"/>
      <c r="GH1" s="123"/>
      <c r="GI1" s="123"/>
      <c r="GJ1" s="123"/>
      <c r="GK1" s="123"/>
      <c r="GL1" s="123"/>
      <c r="GM1" s="123"/>
      <c r="GN1" s="123"/>
      <c r="GO1" s="123"/>
      <c r="GP1" s="123"/>
      <c r="GQ1" s="123"/>
      <c r="GR1" s="123"/>
      <c r="GS1" s="123"/>
      <c r="GT1" s="123"/>
      <c r="GU1" s="123"/>
      <c r="GV1" s="122"/>
      <c r="GW1" s="122"/>
      <c r="GX1" s="122"/>
      <c r="GY1" s="122"/>
      <c r="GZ1" s="124"/>
      <c r="HA1" s="124"/>
      <c r="HB1" s="124"/>
      <c r="HC1" s="124"/>
      <c r="HD1" s="124"/>
      <c r="HE1" s="124"/>
      <c r="HF1" s="124"/>
      <c r="HG1" s="124"/>
      <c r="HH1" s="124"/>
      <c r="HI1" s="124"/>
      <c r="HJ1" s="122"/>
      <c r="HK1" s="122"/>
      <c r="HL1" s="122"/>
      <c r="HM1" s="122"/>
      <c r="HN1" s="122"/>
      <c r="HO1" s="122"/>
      <c r="HP1" s="122"/>
      <c r="HQ1" s="122"/>
      <c r="HR1" s="122"/>
      <c r="HS1" s="122"/>
      <c r="HT1" s="122"/>
      <c r="HU1" s="122"/>
      <c r="HV1" s="122"/>
      <c r="HW1" s="122"/>
    </row>
    <row r="2" spans="1:231" ht="12.75" customHeight="1" x14ac:dyDescent="0.35">
      <c r="A2" s="10"/>
      <c r="B2" s="10"/>
      <c r="C2" s="10"/>
      <c r="D2" s="10"/>
      <c r="E2" s="10"/>
      <c r="F2" s="11"/>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157"/>
      <c r="AO2" s="11"/>
      <c r="AQ2" s="115"/>
      <c r="AR2" s="115"/>
      <c r="AS2" s="115"/>
      <c r="AT2" s="115"/>
      <c r="AU2" s="115"/>
      <c r="AW2" s="90"/>
      <c r="AX2" s="90"/>
      <c r="AY2" s="90"/>
      <c r="AZ2" s="90"/>
      <c r="BA2" s="90"/>
      <c r="BB2" s="90"/>
      <c r="BC2" s="90"/>
      <c r="BD2" s="90"/>
      <c r="BE2" s="90"/>
      <c r="BF2" s="90"/>
      <c r="BG2" s="90"/>
      <c r="BH2" s="90"/>
      <c r="BI2" s="90"/>
      <c r="BJ2" s="90"/>
      <c r="BK2" s="90"/>
      <c r="BL2" s="90"/>
      <c r="BM2" s="90"/>
      <c r="BN2" s="90"/>
      <c r="BO2" s="90"/>
      <c r="BP2" s="90"/>
      <c r="BQ2" s="90"/>
      <c r="BR2" s="90"/>
      <c r="BS2" s="90"/>
      <c r="BT2" s="114"/>
      <c r="BX2" s="286" t="s">
        <v>1628</v>
      </c>
      <c r="BY2" s="286"/>
      <c r="CA2" s="286" t="s">
        <v>1939</v>
      </c>
      <c r="CB2" s="286"/>
      <c r="CC2" s="286"/>
      <c r="CD2" s="286"/>
      <c r="CE2" s="286"/>
      <c r="CF2" s="286"/>
      <c r="CG2" s="286"/>
      <c r="CH2" s="286"/>
      <c r="CI2" s="286"/>
      <c r="CJ2" s="286"/>
      <c r="CK2" s="286"/>
      <c r="CL2" s="286"/>
      <c r="CM2" s="286"/>
      <c r="CN2" s="286"/>
      <c r="CO2" s="91"/>
      <c r="CP2" s="91"/>
      <c r="EO2" s="88"/>
      <c r="EP2" s="88"/>
      <c r="EQ2" s="88"/>
      <c r="ER2" s="88"/>
      <c r="ES2" s="88"/>
      <c r="ET2" s="88"/>
      <c r="EU2" s="88"/>
      <c r="EV2" s="88"/>
      <c r="EW2" s="88"/>
      <c r="EX2" s="88"/>
      <c r="EY2" s="88"/>
      <c r="EZ2" s="88"/>
      <c r="FA2" s="88"/>
      <c r="FB2" s="88"/>
      <c r="FC2" s="88"/>
      <c r="FD2" s="88"/>
      <c r="FE2" s="88"/>
      <c r="FF2" s="88"/>
      <c r="FG2" s="88"/>
      <c r="FH2" s="88"/>
      <c r="FI2" s="88"/>
      <c r="FJ2" s="88"/>
      <c r="FK2" s="88"/>
      <c r="FL2" s="88"/>
      <c r="FM2" s="88"/>
      <c r="FN2" s="88"/>
      <c r="FO2" s="88"/>
      <c r="FP2" s="88"/>
      <c r="FQ2" s="88"/>
      <c r="FR2" s="88"/>
      <c r="FS2" s="88"/>
      <c r="FT2" s="88"/>
      <c r="FU2" s="88"/>
      <c r="FV2" s="88"/>
      <c r="FW2" s="88"/>
      <c r="FX2" s="88"/>
      <c r="FY2" s="88"/>
      <c r="FZ2" s="88"/>
      <c r="GA2" s="88"/>
      <c r="GB2" s="88"/>
      <c r="GC2" s="88"/>
      <c r="GD2" s="88"/>
      <c r="GE2" s="88"/>
      <c r="GF2" s="88"/>
      <c r="GG2" s="88"/>
      <c r="GH2" s="88"/>
      <c r="GI2" s="88"/>
      <c r="GJ2" s="88"/>
      <c r="GK2" s="88"/>
      <c r="GL2" s="88"/>
      <c r="GM2" s="88"/>
      <c r="GN2" s="88"/>
      <c r="GO2" s="88"/>
      <c r="GP2" s="88"/>
      <c r="GQ2" s="88"/>
      <c r="GR2" s="88"/>
      <c r="GS2" s="88"/>
      <c r="GT2" s="88"/>
      <c r="GU2" s="88"/>
      <c r="GY2" s="91"/>
    </row>
    <row r="3" spans="1:231" ht="12.75" customHeight="1" x14ac:dyDescent="0.35">
      <c r="A3" s="10"/>
      <c r="B3" s="10"/>
      <c r="C3" s="10"/>
      <c r="D3" s="10"/>
      <c r="E3" s="10"/>
      <c r="F3" s="11"/>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157"/>
      <c r="AO3" s="11"/>
      <c r="AQ3" s="115"/>
      <c r="AR3" s="115"/>
      <c r="AS3" s="115"/>
      <c r="AT3" s="115"/>
      <c r="AU3" s="115"/>
      <c r="AW3" s="90"/>
      <c r="AX3" s="90"/>
      <c r="AY3" s="90"/>
      <c r="AZ3" s="90"/>
      <c r="BA3" s="90"/>
      <c r="BB3" s="90"/>
      <c r="BC3" s="90"/>
      <c r="BD3" s="90"/>
      <c r="BE3" s="90"/>
      <c r="BF3" s="90"/>
      <c r="BG3" s="90"/>
      <c r="BH3" s="90"/>
      <c r="BI3" s="90"/>
      <c r="BJ3" s="90"/>
      <c r="BK3" s="90"/>
      <c r="BL3" s="90"/>
      <c r="BM3" s="90"/>
      <c r="BN3" s="90"/>
      <c r="BO3" s="90"/>
      <c r="BP3" s="90"/>
      <c r="BQ3" s="90"/>
      <c r="BR3" s="90"/>
      <c r="BS3" s="90"/>
      <c r="BT3" s="114"/>
      <c r="BU3" s="91" t="s">
        <v>1852</v>
      </c>
      <c r="BV3" s="91" t="str">
        <f>IF(COUNTIF(F8,"*Acro*"),"Yes","No")</f>
        <v>No</v>
      </c>
      <c r="BX3" s="154">
        <v>3</v>
      </c>
      <c r="BY3" s="154">
        <v>0</v>
      </c>
      <c r="CA3" s="154"/>
      <c r="CB3" s="154" t="s">
        <v>1776</v>
      </c>
      <c r="CC3" s="154"/>
      <c r="CD3" s="154"/>
      <c r="CE3" s="154"/>
      <c r="CF3" s="154"/>
      <c r="CG3" s="154"/>
      <c r="CH3" s="154"/>
      <c r="CI3" s="154"/>
      <c r="CJ3" s="154"/>
      <c r="CK3" s="154"/>
      <c r="CL3" s="154"/>
      <c r="CM3" s="154">
        <v>12</v>
      </c>
      <c r="CN3" s="154" t="s">
        <v>1777</v>
      </c>
      <c r="CO3" s="91"/>
      <c r="CP3" s="91"/>
      <c r="EO3" s="88"/>
      <c r="EP3" s="88"/>
      <c r="EQ3" s="88"/>
      <c r="ER3" s="88"/>
      <c r="ES3" s="88"/>
      <c r="ET3" s="88"/>
      <c r="EU3" s="88"/>
      <c r="EV3" s="88"/>
      <c r="EW3" s="88"/>
      <c r="EX3" s="88"/>
      <c r="EY3" s="88"/>
      <c r="EZ3" s="88"/>
      <c r="FA3" s="88"/>
      <c r="FB3" s="88"/>
      <c r="FC3" s="88"/>
      <c r="FD3" s="88"/>
      <c r="FE3" s="88"/>
      <c r="FF3" s="88"/>
      <c r="FG3" s="88"/>
      <c r="FH3" s="88"/>
      <c r="FI3" s="88"/>
      <c r="FJ3" s="88"/>
      <c r="FK3" s="88"/>
      <c r="FL3" s="88"/>
      <c r="FM3" s="88"/>
      <c r="FN3" s="88"/>
      <c r="FO3" s="88"/>
      <c r="FP3" s="88"/>
      <c r="FQ3" s="88"/>
      <c r="FR3" s="88"/>
      <c r="FS3" s="88"/>
      <c r="FT3" s="88"/>
      <c r="FU3" s="88"/>
      <c r="FV3" s="88"/>
      <c r="FW3" s="88"/>
      <c r="FX3" s="88"/>
      <c r="FY3" s="88"/>
      <c r="FZ3" s="88"/>
      <c r="GA3" s="88"/>
      <c r="GB3" s="88"/>
      <c r="GC3" s="88"/>
      <c r="GD3" s="88"/>
      <c r="GE3" s="88"/>
      <c r="GF3" s="88"/>
      <c r="GG3" s="88"/>
      <c r="GH3" s="88"/>
      <c r="GI3" s="88"/>
      <c r="GJ3" s="88"/>
      <c r="GK3" s="88"/>
      <c r="GL3" s="88"/>
      <c r="GM3" s="88"/>
      <c r="GN3" s="88"/>
      <c r="GO3" s="88"/>
      <c r="GP3" s="88"/>
      <c r="GQ3" s="88"/>
      <c r="GR3" s="88"/>
      <c r="GS3" s="88"/>
      <c r="GT3" s="88"/>
      <c r="GU3" s="88"/>
      <c r="GY3" s="91"/>
    </row>
    <row r="4" spans="1:231" ht="13.5" customHeight="1" thickBot="1" x14ac:dyDescent="0.4">
      <c r="A4" s="10"/>
      <c r="B4" s="10"/>
      <c r="C4" s="10"/>
      <c r="D4" s="10"/>
      <c r="E4" s="10"/>
      <c r="F4" s="11"/>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157"/>
      <c r="AO4" s="118" t="s">
        <v>2520</v>
      </c>
      <c r="AQ4" s="115"/>
      <c r="AR4" s="115"/>
      <c r="AS4" s="115"/>
      <c r="AT4" s="115"/>
      <c r="AU4" s="115"/>
      <c r="AW4" s="90"/>
      <c r="AX4" s="90"/>
      <c r="AY4" s="90"/>
      <c r="AZ4" s="90"/>
      <c r="BA4" s="90"/>
      <c r="BB4" s="90"/>
      <c r="BC4" s="90"/>
      <c r="BD4" s="90"/>
      <c r="BE4" s="90"/>
      <c r="BF4" s="90"/>
      <c r="BG4" s="90"/>
      <c r="BH4" s="90"/>
      <c r="BI4" s="90"/>
      <c r="BJ4" s="90"/>
      <c r="BK4" s="90"/>
      <c r="BL4" s="90"/>
      <c r="BM4" s="90"/>
      <c r="BN4" s="90"/>
      <c r="BO4" s="90"/>
      <c r="BP4" s="90"/>
      <c r="BQ4" s="90"/>
      <c r="BR4" s="90"/>
      <c r="BS4" s="90"/>
      <c r="BT4" s="114"/>
      <c r="BU4" s="91" t="s">
        <v>1768</v>
      </c>
      <c r="BV4" s="91" t="str">
        <f>IF(COUNTIF(F8,"*Solo*"),"Yes","No")</f>
        <v>No</v>
      </c>
      <c r="BX4" s="154" t="s">
        <v>1629</v>
      </c>
      <c r="BY4" s="154">
        <v>0.5</v>
      </c>
      <c r="CA4" s="154" t="s">
        <v>1631</v>
      </c>
      <c r="CB4" s="162">
        <v>2.7</v>
      </c>
      <c r="CC4" s="162"/>
      <c r="CD4" s="162"/>
      <c r="CE4" s="162"/>
      <c r="CF4" s="162"/>
      <c r="CG4" s="162"/>
      <c r="CH4" s="162"/>
      <c r="CI4" s="162"/>
      <c r="CJ4" s="162"/>
      <c r="CK4" s="162"/>
      <c r="CL4" s="162"/>
      <c r="CM4" s="162">
        <v>2.5</v>
      </c>
      <c r="CN4" s="154">
        <f>IF(LEFT($F$7,2)="Yo",CB4,CM4)</f>
        <v>2.5</v>
      </c>
      <c r="CO4" s="91"/>
      <c r="CP4" s="91"/>
      <c r="EO4" s="88"/>
      <c r="EP4" s="88"/>
      <c r="EQ4" s="88"/>
      <c r="ER4" s="88"/>
      <c r="ES4" s="88"/>
      <c r="ET4" s="88"/>
      <c r="EU4" s="88"/>
      <c r="EV4" s="88"/>
      <c r="EW4" s="88"/>
      <c r="EX4" s="88"/>
      <c r="EY4" s="88"/>
      <c r="EZ4" s="88"/>
      <c r="FA4" s="88"/>
      <c r="FB4" s="88"/>
      <c r="FC4" s="88"/>
      <c r="FD4" s="88"/>
      <c r="FE4" s="88"/>
      <c r="FF4" s="88"/>
      <c r="FG4" s="88"/>
      <c r="FH4" s="88"/>
      <c r="FI4" s="88"/>
      <c r="FJ4" s="88"/>
      <c r="FK4" s="88"/>
      <c r="FL4" s="88"/>
      <c r="FM4" s="88"/>
      <c r="FN4" s="88"/>
      <c r="FO4" s="88"/>
      <c r="FP4" s="88"/>
      <c r="FQ4" s="88"/>
      <c r="FR4" s="88"/>
      <c r="FS4" s="88"/>
      <c r="FT4" s="88"/>
      <c r="FU4" s="88"/>
      <c r="FV4" s="88"/>
      <c r="FW4" s="88"/>
      <c r="FX4" s="88"/>
      <c r="FY4" s="88"/>
      <c r="FZ4" s="88"/>
      <c r="GA4" s="88"/>
      <c r="GB4" s="88"/>
      <c r="GC4" s="88"/>
      <c r="GD4" s="88"/>
      <c r="GE4" s="88"/>
      <c r="GF4" s="88"/>
      <c r="GG4" s="88"/>
      <c r="GH4" s="88"/>
      <c r="GI4" s="88"/>
      <c r="GJ4" s="88"/>
      <c r="GK4" s="88"/>
      <c r="GL4" s="88"/>
      <c r="GM4" s="88"/>
      <c r="GN4" s="88"/>
      <c r="GO4" s="88"/>
      <c r="GP4" s="88"/>
      <c r="GQ4" s="88"/>
      <c r="GR4" s="88"/>
      <c r="GS4" s="88"/>
      <c r="GT4" s="88"/>
      <c r="GU4" s="88"/>
      <c r="GY4" s="91"/>
    </row>
    <row r="5" spans="1:231" ht="15.75" customHeight="1" thickBot="1" x14ac:dyDescent="0.4">
      <c r="A5" s="328"/>
      <c r="B5" s="329"/>
      <c r="C5" s="329"/>
      <c r="D5" s="330"/>
      <c r="E5" s="245"/>
      <c r="F5" s="338"/>
      <c r="G5" s="339"/>
      <c r="H5" s="339"/>
      <c r="I5" s="339"/>
      <c r="J5" s="85"/>
      <c r="K5" s="86" t="str">
        <f>IF(A5="Federation:","Country code:","")</f>
        <v/>
      </c>
      <c r="L5" s="229" t="str">
        <f>IFERROR(INDEX(Data!CG1:CG209,MATCH(F5,Data!CF1:CF209,0)),"")</f>
        <v/>
      </c>
      <c r="M5" s="230" t="s">
        <v>615</v>
      </c>
      <c r="N5" s="246"/>
      <c r="O5" s="231" t="s">
        <v>616</v>
      </c>
      <c r="P5" s="24"/>
      <c r="Q5" s="247"/>
      <c r="R5" s="248"/>
      <c r="S5" s="249" t="s">
        <v>2449</v>
      </c>
      <c r="T5" s="250"/>
      <c r="U5" s="251"/>
      <c r="V5" s="248"/>
      <c r="W5" s="249" t="s">
        <v>2467</v>
      </c>
      <c r="X5" s="252" t="s">
        <v>2522</v>
      </c>
      <c r="Y5" s="342"/>
      <c r="Z5" s="343"/>
      <c r="AA5" s="343"/>
      <c r="AB5" s="343"/>
      <c r="AC5" s="343"/>
      <c r="AD5" s="343"/>
      <c r="AE5" s="343"/>
      <c r="AF5" s="343"/>
      <c r="AG5" s="343"/>
      <c r="AH5" s="343"/>
      <c r="AI5" s="343"/>
      <c r="AJ5" s="343"/>
      <c r="AK5" s="343"/>
      <c r="AL5" s="343"/>
      <c r="AM5" s="343"/>
      <c r="AN5" s="343"/>
      <c r="AO5" s="344"/>
      <c r="AQ5" s="115"/>
      <c r="AR5" s="115"/>
      <c r="AS5" s="115"/>
      <c r="AT5" s="115"/>
      <c r="AU5" s="115"/>
      <c r="AW5" s="90"/>
      <c r="AX5" s="90"/>
      <c r="AY5" s="90"/>
      <c r="AZ5" s="90"/>
      <c r="BA5" s="90"/>
      <c r="BB5" s="90"/>
      <c r="BC5" s="90"/>
      <c r="BD5" s="90"/>
      <c r="BE5" s="90"/>
      <c r="BF5" s="90"/>
      <c r="BG5" s="90"/>
      <c r="BH5" s="90"/>
      <c r="BI5" s="90"/>
      <c r="BJ5" s="90"/>
      <c r="BK5" s="90"/>
      <c r="BL5" s="90"/>
      <c r="BM5" s="90"/>
      <c r="BN5" s="90"/>
      <c r="BO5" s="90"/>
      <c r="BP5" s="90"/>
      <c r="BQ5" s="90"/>
      <c r="BR5" s="90"/>
      <c r="BS5" s="90"/>
      <c r="BT5" s="114"/>
      <c r="BU5" s="91" t="s">
        <v>1763</v>
      </c>
      <c r="BV5" s="91" t="str">
        <f>IF(OR($F$8="Open Team Technical",$F$8="Open Team Free",$F$8="Open Free Combination"),"OK","")</f>
        <v/>
      </c>
      <c r="BX5" s="154" t="s">
        <v>1630</v>
      </c>
      <c r="BY5" s="154">
        <v>0.1</v>
      </c>
      <c r="CA5" s="154" t="s">
        <v>133</v>
      </c>
      <c r="CB5" s="162">
        <v>2.8</v>
      </c>
      <c r="CC5" s="162"/>
      <c r="CD5" s="162"/>
      <c r="CE5" s="162"/>
      <c r="CF5" s="162"/>
      <c r="CG5" s="162"/>
      <c r="CH5" s="162"/>
      <c r="CI5" s="162"/>
      <c r="CJ5" s="162"/>
      <c r="CK5" s="162"/>
      <c r="CL5" s="162"/>
      <c r="CM5" s="162">
        <v>2.6</v>
      </c>
      <c r="CN5" s="154">
        <f t="shared" ref="CN5:CN7" si="0">IF(LEFT($F$7,2)="Yo",CB5,CM5)</f>
        <v>2.6</v>
      </c>
      <c r="CO5" s="91"/>
      <c r="CP5" s="91"/>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H5" s="88"/>
      <c r="GI5" s="88"/>
      <c r="GJ5" s="88"/>
      <c r="GK5" s="88"/>
      <c r="GL5" s="88"/>
      <c r="GM5" s="88"/>
      <c r="GN5" s="88"/>
      <c r="GO5" s="88"/>
      <c r="GP5" s="88"/>
      <c r="GQ5" s="88"/>
      <c r="GR5" s="88"/>
      <c r="GS5" s="88"/>
      <c r="GT5" s="88"/>
      <c r="GU5" s="88"/>
      <c r="GY5" s="91"/>
    </row>
    <row r="6" spans="1:231" ht="15.75" customHeight="1" thickBot="1" x14ac:dyDescent="0.4">
      <c r="A6" s="322" t="s">
        <v>1</v>
      </c>
      <c r="B6" s="323"/>
      <c r="C6" s="323"/>
      <c r="D6" s="331"/>
      <c r="E6" s="253"/>
      <c r="F6" s="336"/>
      <c r="G6" s="333"/>
      <c r="H6" s="333"/>
      <c r="I6" s="333"/>
      <c r="J6" s="333"/>
      <c r="K6" s="333"/>
      <c r="L6" s="337"/>
      <c r="M6" s="228" t="s">
        <v>614</v>
      </c>
      <c r="N6" s="332"/>
      <c r="O6" s="333"/>
      <c r="P6" s="333"/>
      <c r="Q6" s="333"/>
      <c r="R6" s="334"/>
      <c r="S6" s="334"/>
      <c r="T6" s="334"/>
      <c r="U6" s="333"/>
      <c r="V6" s="333"/>
      <c r="W6" s="333"/>
      <c r="X6" s="333"/>
      <c r="Y6" s="333"/>
      <c r="Z6" s="333"/>
      <c r="AA6" s="333"/>
      <c r="AB6" s="333"/>
      <c r="AC6" s="335"/>
      <c r="AD6" s="206"/>
      <c r="AE6" s="207"/>
      <c r="AF6" s="207"/>
      <c r="AG6" s="207"/>
      <c r="AH6" s="207"/>
      <c r="AI6" s="207"/>
      <c r="AJ6" s="207"/>
      <c r="AK6" s="207"/>
      <c r="AL6" s="207"/>
      <c r="AM6" s="207"/>
      <c r="AN6" s="208"/>
      <c r="AO6" s="209"/>
      <c r="AQ6" s="115"/>
      <c r="AR6" s="115"/>
      <c r="AS6" s="115"/>
      <c r="AT6" s="115"/>
      <c r="AU6" s="115"/>
      <c r="AW6" s="90"/>
      <c r="AX6" s="90"/>
      <c r="AY6" s="90"/>
      <c r="AZ6" s="90"/>
      <c r="BA6" s="90"/>
      <c r="BB6" s="90"/>
      <c r="BC6" s="90"/>
      <c r="BD6" s="90"/>
      <c r="BE6" s="90"/>
      <c r="BF6" s="90"/>
      <c r="BG6" s="90"/>
      <c r="BH6" s="90"/>
      <c r="BI6" s="90"/>
      <c r="BJ6" s="90"/>
      <c r="BK6" s="90"/>
      <c r="BL6" s="90"/>
      <c r="BM6" s="90"/>
      <c r="BN6" s="90"/>
      <c r="BO6" s="90"/>
      <c r="BP6" s="90"/>
      <c r="BQ6" s="90"/>
      <c r="BR6" s="90"/>
      <c r="BS6" s="90"/>
      <c r="BT6" s="111"/>
      <c r="BU6" s="91" t="s">
        <v>71</v>
      </c>
      <c r="BV6" s="91" t="str">
        <f>IF(OR(LEFT(F8,10)="Women solo",LEFT(F8,4)="Male"),"",IF(LEFT(F8,10)="Women Duet","D",IF(LEFT(F8,5)="Mixed","D","T")))</f>
        <v>T</v>
      </c>
      <c r="BX6" s="154" t="s">
        <v>1631</v>
      </c>
      <c r="BY6" s="154">
        <v>0.5</v>
      </c>
      <c r="CA6" s="154" t="s">
        <v>625</v>
      </c>
      <c r="CB6" s="162">
        <v>2.8</v>
      </c>
      <c r="CC6" s="162"/>
      <c r="CD6" s="162"/>
      <c r="CE6" s="162"/>
      <c r="CF6" s="162"/>
      <c r="CG6" s="162"/>
      <c r="CH6" s="162"/>
      <c r="CI6" s="162"/>
      <c r="CJ6" s="162"/>
      <c r="CK6" s="162"/>
      <c r="CL6" s="162"/>
      <c r="CM6" s="162">
        <v>2.6</v>
      </c>
      <c r="CN6" s="154">
        <f t="shared" si="0"/>
        <v>2.6</v>
      </c>
      <c r="CO6" s="91"/>
      <c r="CP6" s="91"/>
      <c r="EO6" s="88"/>
      <c r="EP6" s="88"/>
      <c r="EQ6" s="88"/>
      <c r="ER6" s="88"/>
      <c r="ES6" s="88"/>
      <c r="ET6" s="88"/>
      <c r="EU6" s="88"/>
      <c r="EV6" s="88"/>
      <c r="EW6" s="88"/>
      <c r="EX6" s="88"/>
      <c r="EY6" s="88"/>
      <c r="EZ6" s="88"/>
      <c r="FA6" s="88"/>
      <c r="FB6" s="88"/>
      <c r="FC6" s="88"/>
      <c r="FD6" s="88"/>
      <c r="FE6" s="88"/>
      <c r="FF6" s="88"/>
      <c r="FG6" s="88"/>
      <c r="FH6" s="88"/>
      <c r="FI6" s="88"/>
      <c r="FJ6" s="88"/>
      <c r="FK6" s="88"/>
      <c r="FL6" s="88"/>
      <c r="FM6" s="88"/>
      <c r="FN6" s="88"/>
      <c r="FO6" s="88"/>
      <c r="FP6" s="88"/>
      <c r="FQ6" s="88"/>
      <c r="FR6" s="88"/>
      <c r="FS6" s="88"/>
      <c r="FT6" s="88"/>
      <c r="FU6" s="88"/>
      <c r="FV6" s="88"/>
      <c r="FW6" s="88"/>
      <c r="FX6" s="88"/>
      <c r="FY6" s="88"/>
      <c r="FZ6" s="88"/>
      <c r="GA6" s="88"/>
      <c r="GB6" s="88"/>
      <c r="GC6" s="88"/>
      <c r="GD6" s="88"/>
      <c r="GE6" s="88"/>
      <c r="GF6" s="88"/>
      <c r="GG6" s="88"/>
      <c r="GH6" s="88"/>
      <c r="GI6" s="88"/>
      <c r="GJ6" s="88"/>
      <c r="GK6" s="88"/>
      <c r="GL6" s="88"/>
      <c r="GM6" s="88"/>
      <c r="GN6" s="88"/>
      <c r="GO6" s="88"/>
      <c r="GP6" s="88"/>
      <c r="GQ6" s="88"/>
      <c r="GR6" s="88"/>
      <c r="GS6" s="88"/>
      <c r="GT6" s="88"/>
      <c r="GU6" s="88"/>
      <c r="GY6" s="91"/>
    </row>
    <row r="7" spans="1:231" ht="15.75" customHeight="1" x14ac:dyDescent="0.35">
      <c r="A7" s="322" t="s">
        <v>4</v>
      </c>
      <c r="B7" s="323"/>
      <c r="C7" s="323"/>
      <c r="D7" s="323"/>
      <c r="E7" s="13"/>
      <c r="F7" s="38"/>
      <c r="G7" s="53" t="str">
        <f>IF(F7&lt;&gt;"","","&lt;--  Choose age group first")</f>
        <v>&lt;--  Choose age group first</v>
      </c>
      <c r="H7" s="54"/>
      <c r="I7" s="54"/>
      <c r="J7" s="54"/>
      <c r="K7" s="55" t="str">
        <f>IF(F7&lt;&gt;"","Acrobatic safety limits on (Y/N)?:","")</f>
        <v/>
      </c>
      <c r="L7" s="59" t="s">
        <v>577</v>
      </c>
      <c r="M7" s="58" t="str">
        <f>IF(OR(LEFT(F7,2)="12",LEFT(F7,2)="Yo"),"X","")</f>
        <v/>
      </c>
      <c r="N7" s="58" t="str">
        <f>IF(OR(LEFT(F7,2)="12",LEFT(F7,2)="Yo"),IF(L7="Y","X",""),IF(AND(M8&lt;&gt;"",L8="Y"),"X",""))</f>
        <v/>
      </c>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27"/>
      <c r="AQ7" s="115"/>
      <c r="AR7" s="115"/>
      <c r="AS7" s="115"/>
      <c r="AT7" s="115"/>
      <c r="AU7" s="115"/>
      <c r="AW7" s="90"/>
      <c r="AX7" s="90"/>
      <c r="AY7" s="90"/>
      <c r="AZ7" s="90"/>
      <c r="BA7" s="90"/>
      <c r="BB7" s="90"/>
      <c r="BC7" s="90"/>
      <c r="BD7" s="90"/>
      <c r="BE7" s="90"/>
      <c r="BF7" s="90"/>
      <c r="BG7" s="90"/>
      <c r="BH7" s="90"/>
      <c r="BI7" s="90"/>
      <c r="BJ7" s="90"/>
      <c r="BK7" s="90"/>
      <c r="BL7" s="90"/>
      <c r="BM7" s="90"/>
      <c r="BN7" s="90"/>
      <c r="BO7" s="90"/>
      <c r="BP7" s="90"/>
      <c r="BQ7" s="90"/>
      <c r="BR7" s="90"/>
      <c r="BS7" s="90"/>
      <c r="BT7" s="111"/>
      <c r="BU7" s="91" t="s">
        <v>2515</v>
      </c>
      <c r="BV7" s="88" t="str">
        <f>IF(OR(LEFT(F7,1)="1",LEFT(F7,1)="Y"),IF(AND($T$5="",LEFT(F7,1)="Y"),3,4),IF(OR(LEFT(F7,1)="J",LEFT(F7,1)="S",LEFT(F7,1)="M"),2,""))</f>
        <v/>
      </c>
      <c r="BX7" s="154" t="s">
        <v>133</v>
      </c>
      <c r="BY7" s="154">
        <v>0.5</v>
      </c>
      <c r="CA7" s="154" t="s">
        <v>130</v>
      </c>
      <c r="CB7" s="162">
        <v>3</v>
      </c>
      <c r="CC7" s="162"/>
      <c r="CD7" s="162"/>
      <c r="CE7" s="162"/>
      <c r="CF7" s="162"/>
      <c r="CG7" s="162"/>
      <c r="CH7" s="162"/>
      <c r="CI7" s="162"/>
      <c r="CJ7" s="162"/>
      <c r="CK7" s="162"/>
      <c r="CL7" s="162"/>
      <c r="CM7" s="162">
        <v>2.8</v>
      </c>
      <c r="CN7" s="154">
        <f t="shared" si="0"/>
        <v>2.8</v>
      </c>
      <c r="CO7" s="91"/>
      <c r="CP7" s="91"/>
      <c r="EO7" s="88"/>
      <c r="EP7" s="88"/>
      <c r="EQ7" s="88"/>
      <c r="ER7" s="88"/>
      <c r="ES7" s="88"/>
      <c r="ET7" s="88"/>
      <c r="EU7" s="88"/>
      <c r="EV7" s="88"/>
      <c r="EW7" s="88"/>
      <c r="EX7" s="88"/>
      <c r="EY7" s="88"/>
      <c r="EZ7" s="88"/>
      <c r="FA7" s="88"/>
      <c r="FB7" s="88"/>
      <c r="FC7" s="88"/>
      <c r="FD7" s="88"/>
      <c r="FE7" s="88"/>
      <c r="FF7" s="88"/>
      <c r="FG7" s="88"/>
      <c r="FH7" s="88"/>
      <c r="FI7" s="88"/>
      <c r="FJ7" s="88"/>
      <c r="FK7" s="88"/>
      <c r="FL7" s="88"/>
      <c r="FM7" s="88"/>
      <c r="FN7" s="88"/>
      <c r="FO7" s="88"/>
      <c r="FP7" s="88"/>
      <c r="FQ7" s="88"/>
      <c r="FR7" s="88"/>
      <c r="FS7" s="88"/>
      <c r="FT7" s="88"/>
      <c r="FU7" s="88"/>
      <c r="FV7" s="88"/>
      <c r="FW7" s="88"/>
      <c r="FX7" s="88"/>
      <c r="FY7" s="88"/>
      <c r="FZ7" s="88"/>
      <c r="GA7" s="88"/>
      <c r="GB7" s="88"/>
      <c r="GC7" s="88"/>
      <c r="GD7" s="88"/>
      <c r="GE7" s="88"/>
      <c r="GF7" s="88"/>
      <c r="GG7" s="88"/>
      <c r="GH7" s="88"/>
      <c r="GI7" s="88"/>
      <c r="GJ7" s="88"/>
      <c r="GK7" s="88"/>
      <c r="GL7" s="88"/>
      <c r="GM7" s="88"/>
      <c r="GN7" s="88"/>
      <c r="GO7" s="88"/>
      <c r="GP7" s="88"/>
      <c r="GQ7" s="88"/>
      <c r="GR7" s="88"/>
      <c r="GS7" s="88"/>
      <c r="GT7" s="88"/>
      <c r="GU7" s="88"/>
      <c r="GY7" s="91"/>
    </row>
    <row r="8" spans="1:231" ht="15.75" customHeight="1" x14ac:dyDescent="0.35">
      <c r="A8" s="322" t="s">
        <v>2</v>
      </c>
      <c r="B8" s="323"/>
      <c r="C8" s="323"/>
      <c r="D8" s="331"/>
      <c r="E8" s="253"/>
      <c r="F8" s="168"/>
      <c r="G8" s="56" t="str">
        <f>IF(AND(F8="",F7&lt;&gt;""),"&lt;--  Choose event","")</f>
        <v/>
      </c>
      <c r="H8" s="15"/>
      <c r="I8" s="15"/>
      <c r="J8" s="15"/>
      <c r="K8" s="57" t="str">
        <f>IF(F8&lt;&gt;"","Acrobatic safety limits on (Y/N)?:","")</f>
        <v/>
      </c>
      <c r="L8" s="169" t="s">
        <v>576</v>
      </c>
      <c r="M8" s="58" t="str">
        <f>IF(F8&lt;&gt;"",IF(OR(LEFT(F7,2)="12",LEFT(F7,2)="Yo"),"",IF(F7="","",IF(I12&gt;0,"X",""))),"")</f>
        <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27"/>
      <c r="AQ8" s="115"/>
      <c r="AR8" s="115"/>
      <c r="AS8" s="115"/>
      <c r="AT8" s="115"/>
      <c r="AU8" s="115"/>
      <c r="AW8" s="90"/>
      <c r="AX8" s="90"/>
      <c r="AY8" s="90"/>
      <c r="AZ8" s="90"/>
      <c r="BA8" s="90"/>
      <c r="BB8" s="90"/>
      <c r="BC8" s="90"/>
      <c r="BD8" s="90"/>
      <c r="BE8" s="90"/>
      <c r="BF8" s="90"/>
      <c r="BG8" s="90"/>
      <c r="BH8" s="90"/>
      <c r="BI8" s="90"/>
      <c r="BJ8" s="90"/>
      <c r="BK8" s="90"/>
      <c r="BL8" s="90"/>
      <c r="BM8" s="90"/>
      <c r="BN8" s="90"/>
      <c r="BO8" s="90"/>
      <c r="BP8" s="90"/>
      <c r="BQ8" s="90"/>
      <c r="BR8" s="90"/>
      <c r="BS8" s="90"/>
      <c r="BT8" s="111"/>
      <c r="BU8" s="91" t="s">
        <v>21</v>
      </c>
      <c r="BV8" s="88" t="str">
        <f>IF(RIGHT(F8,9)="Technical","T",IF(LEFT(F8,1)="F","F",IF(LEFT(F8,1)="A","A","")))</f>
        <v/>
      </c>
      <c r="BX8" s="154" t="s">
        <v>625</v>
      </c>
      <c r="BY8" s="154">
        <v>0.5</v>
      </c>
      <c r="CN8" s="91"/>
      <c r="CO8" s="91"/>
      <c r="CP8" s="91"/>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c r="GD8" s="88"/>
      <c r="GE8" s="88"/>
      <c r="GF8" s="88"/>
      <c r="GG8" s="88"/>
      <c r="GH8" s="88"/>
      <c r="GI8" s="88"/>
      <c r="GJ8" s="88"/>
      <c r="GK8" s="88"/>
      <c r="GL8" s="88"/>
      <c r="GM8" s="88"/>
      <c r="GN8" s="88"/>
      <c r="GO8" s="88"/>
      <c r="GP8" s="88"/>
      <c r="GQ8" s="88"/>
      <c r="GR8" s="88"/>
      <c r="GS8" s="88"/>
      <c r="GT8" s="88"/>
      <c r="GU8" s="88"/>
      <c r="GY8" s="91"/>
    </row>
    <row r="9" spans="1:231" ht="15.75" customHeight="1" thickBot="1" x14ac:dyDescent="0.4">
      <c r="A9" s="325" t="s">
        <v>6</v>
      </c>
      <c r="B9" s="326"/>
      <c r="C9" s="326"/>
      <c r="D9" s="327"/>
      <c r="E9" s="254"/>
      <c r="F9" s="311"/>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2"/>
      <c r="AO9" s="313"/>
      <c r="AQ9" s="115"/>
      <c r="AR9" s="115"/>
      <c r="AS9" s="115"/>
      <c r="AT9" s="115"/>
      <c r="AU9" s="115"/>
      <c r="AW9" s="90"/>
      <c r="AX9" s="90"/>
      <c r="AY9" s="90"/>
      <c r="AZ9" s="90"/>
      <c r="BA9" s="90"/>
      <c r="BB9" s="90"/>
      <c r="BC9" s="90"/>
      <c r="BD9" s="90"/>
      <c r="BE9" s="90"/>
      <c r="BF9" s="90"/>
      <c r="BG9" s="90"/>
      <c r="BH9" s="90"/>
      <c r="BI9" s="90"/>
      <c r="BJ9" s="90"/>
      <c r="BK9" s="90"/>
      <c r="BL9" s="90"/>
      <c r="BM9" s="90"/>
      <c r="BN9" s="90"/>
      <c r="BO9" s="90"/>
      <c r="BP9" s="90"/>
      <c r="BQ9" s="90"/>
      <c r="BR9" s="90"/>
      <c r="BS9" s="90" t="s">
        <v>2011</v>
      </c>
      <c r="BT9" s="111"/>
      <c r="BU9" s="293" t="str">
        <f>IFERROR(CONCATENATE(F8," / ",F7),"")</f>
        <v xml:space="preserve"> / </v>
      </c>
      <c r="BV9" s="293"/>
      <c r="BW9" s="293"/>
      <c r="BX9" s="154" t="s">
        <v>130</v>
      </c>
      <c r="BY9" s="154">
        <v>0.5</v>
      </c>
      <c r="CN9" s="91"/>
      <c r="CO9" s="91"/>
      <c r="CP9" s="91"/>
      <c r="DS9" s="243" t="s">
        <v>2513</v>
      </c>
      <c r="DT9" s="154" t="str">
        <f>IF(COUNTIF(DQ13:DT13,"&gt;1")=0,"No","Yes")</f>
        <v>No</v>
      </c>
      <c r="EO9" s="88"/>
      <c r="EP9" s="88"/>
      <c r="EQ9" s="88"/>
      <c r="ER9" s="88"/>
      <c r="ES9" s="88"/>
      <c r="ET9" s="88"/>
      <c r="EU9" s="88"/>
      <c r="EV9" s="88"/>
      <c r="EW9" s="88"/>
      <c r="EX9" s="88"/>
      <c r="EY9" s="88"/>
      <c r="EZ9" s="88"/>
      <c r="FA9" s="88"/>
      <c r="FB9" s="88"/>
      <c r="FC9" s="88"/>
      <c r="FD9" s="88"/>
      <c r="FE9" s="88"/>
      <c r="FF9" s="88"/>
      <c r="FG9" s="88"/>
      <c r="FH9" s="88"/>
      <c r="FI9" s="88"/>
      <c r="FJ9" s="88"/>
      <c r="FK9" s="88"/>
      <c r="FL9" s="88"/>
      <c r="FM9" s="88"/>
      <c r="FN9" s="88"/>
      <c r="FO9" s="88"/>
      <c r="FP9" s="88"/>
      <c r="FQ9" s="88"/>
      <c r="FR9" s="88"/>
      <c r="FS9" s="88"/>
      <c r="FT9" s="88"/>
      <c r="FU9" s="88"/>
      <c r="FV9" s="88"/>
      <c r="FW9" s="88"/>
      <c r="FX9" s="88"/>
      <c r="FY9" s="88"/>
      <c r="FZ9" s="88"/>
      <c r="GA9" s="88"/>
      <c r="GB9" s="88"/>
      <c r="GC9" s="88"/>
      <c r="GD9" s="88"/>
      <c r="GE9" s="88"/>
      <c r="GF9" s="88"/>
      <c r="GG9" s="88"/>
      <c r="GH9" s="88"/>
      <c r="GI9" s="88"/>
      <c r="GJ9" s="88"/>
      <c r="GK9" s="88"/>
      <c r="GL9" s="88"/>
      <c r="GM9" s="88"/>
      <c r="GN9" s="88"/>
      <c r="GO9" s="88"/>
      <c r="GP9" s="88"/>
      <c r="GQ9" s="88"/>
      <c r="GR9" s="88"/>
      <c r="GS9" s="88"/>
      <c r="GT9" s="88"/>
      <c r="GU9" s="88"/>
      <c r="GY9" s="91"/>
    </row>
    <row r="10" spans="1:231" ht="16.5" customHeight="1" x14ac:dyDescent="0.35">
      <c r="A10" s="340" t="s">
        <v>2438</v>
      </c>
      <c r="B10" s="340"/>
      <c r="C10" s="341" t="s">
        <v>2437</v>
      </c>
      <c r="D10" s="341"/>
      <c r="E10" s="12"/>
      <c r="G10" s="17" t="s">
        <v>18</v>
      </c>
      <c r="H10" s="17" t="s">
        <v>17</v>
      </c>
      <c r="I10" s="18" t="str">
        <f>IF(OR(F8="Women Duet Free",F8="Mixed Duet Free",F8="Women Duet Technical",F8="Mixed Duet Technical"),"Acrobatic - Pair","Acrobatic")</f>
        <v>Acrobatic</v>
      </c>
      <c r="J10" s="18" t="s">
        <v>1618</v>
      </c>
      <c r="K10" s="18" t="s">
        <v>1623</v>
      </c>
      <c r="L10" s="18" t="s">
        <v>554</v>
      </c>
      <c r="M10" s="18" t="s">
        <v>553</v>
      </c>
      <c r="N10" s="18" t="str">
        <f>IF(AND('Coach Card'!$T$5="",RIGHT('Coach Card'!$F$8,11)="Combination"),"Hybrid - Team (must have 4 athl.)","Hybrid - All Team swimmers")</f>
        <v>Hybrid - All Team swimmers</v>
      </c>
      <c r="O10" s="18" t="s">
        <v>2510</v>
      </c>
      <c r="P10" s="18" t="s">
        <v>1774</v>
      </c>
      <c r="Q10" s="18" t="s">
        <v>1620</v>
      </c>
      <c r="R10" s="18"/>
      <c r="Y10" s="18"/>
      <c r="Z10" s="18"/>
      <c r="AA10" s="18"/>
      <c r="AB10" s="18"/>
      <c r="AC10" s="18"/>
      <c r="AD10" s="18"/>
      <c r="AF10" s="61"/>
      <c r="AG10" s="61"/>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2"/>
      <c r="CN10" s="91"/>
      <c r="CO10" s="91"/>
      <c r="CP10" s="91"/>
      <c r="DQ10" s="88" t="s">
        <v>2323</v>
      </c>
      <c r="DR10" s="154" t="str">
        <f>IF(COUNTIF(DQ13:DT13,0)=0,"Yes","No")</f>
        <v>No</v>
      </c>
      <c r="DS10" s="88" t="s">
        <v>1919</v>
      </c>
      <c r="DT10" s="154" t="str">
        <f>IF(COUNTIF(DQ13:DT13,"&gt;2")=0,"No","Yes")</f>
        <v>No</v>
      </c>
      <c r="EO10" s="88"/>
      <c r="EP10" s="88"/>
      <c r="EQ10" s="88"/>
      <c r="ER10" s="88"/>
      <c r="ES10" s="88"/>
      <c r="ET10" s="88"/>
      <c r="EU10" s="88"/>
      <c r="EV10" s="88"/>
      <c r="EW10" s="88"/>
      <c r="EX10" s="88"/>
      <c r="EY10" s="88"/>
      <c r="EZ10" s="88"/>
      <c r="FA10" s="88"/>
      <c r="FB10" s="88"/>
      <c r="FC10" s="88"/>
      <c r="FD10" s="88"/>
      <c r="FE10" s="88"/>
      <c r="FF10" s="88"/>
      <c r="FG10" s="88"/>
      <c r="FH10" s="88"/>
      <c r="FI10" s="88"/>
      <c r="FJ10" s="88"/>
      <c r="FK10" s="88"/>
      <c r="FL10" s="88"/>
      <c r="FM10" s="88"/>
      <c r="FN10" s="88"/>
      <c r="FO10" s="88"/>
      <c r="FP10" s="88"/>
      <c r="FQ10" s="88"/>
      <c r="FR10" s="88"/>
      <c r="FS10" s="88"/>
      <c r="FT10" s="88"/>
      <c r="FU10" s="88"/>
      <c r="FV10" s="88"/>
      <c r="FW10" s="88"/>
      <c r="FX10" s="88"/>
      <c r="FY10" s="88"/>
      <c r="FZ10" s="88"/>
      <c r="GA10" s="88"/>
      <c r="GB10" s="88"/>
      <c r="GC10" s="88"/>
      <c r="GD10" s="88"/>
      <c r="GE10" s="88"/>
      <c r="GF10" s="88"/>
      <c r="GG10" s="88"/>
      <c r="GH10" s="88"/>
      <c r="GI10" s="88"/>
      <c r="GJ10" s="88"/>
      <c r="GK10" s="88"/>
      <c r="GL10" s="88"/>
      <c r="GM10" s="88"/>
      <c r="GN10" s="88"/>
      <c r="GO10" s="88"/>
      <c r="GP10" s="88"/>
      <c r="GQ10" s="88"/>
      <c r="GR10" s="88"/>
      <c r="GS10" s="88"/>
      <c r="GT10" s="88"/>
      <c r="GU10" s="88"/>
      <c r="GY10" s="91"/>
    </row>
    <row r="11" spans="1:231" ht="15" customHeight="1" x14ac:dyDescent="0.35">
      <c r="A11" s="340"/>
      <c r="B11" s="340"/>
      <c r="C11" s="341"/>
      <c r="D11" s="341"/>
      <c r="E11" s="12"/>
      <c r="G11" s="14" t="s">
        <v>43</v>
      </c>
      <c r="H11" s="14" t="s">
        <v>2265</v>
      </c>
      <c r="I11" s="152" t="str">
        <f>IF(OR(F8="Women Duet Free",F8="Mixed Duet Free",F8="Women Duet Technical",F8="Mixed Duet Technical"),"PairAcro","TeamAcro")</f>
        <v>TeamAcro</v>
      </c>
      <c r="J11" s="19" t="s">
        <v>16</v>
      </c>
      <c r="K11" s="19" t="s">
        <v>573</v>
      </c>
      <c r="L11" s="19" t="s">
        <v>574</v>
      </c>
      <c r="M11" s="19" t="s">
        <v>575</v>
      </c>
      <c r="N11" s="152" t="s">
        <v>1624</v>
      </c>
      <c r="O11" s="152" t="s">
        <v>2266</v>
      </c>
      <c r="P11" s="152" t="s">
        <v>1775</v>
      </c>
      <c r="Q11" s="19" t="s">
        <v>44</v>
      </c>
      <c r="R11" s="14"/>
      <c r="S11" s="165" t="str">
        <f>IF(BV8="T","   Technical Required Element - Check",IF(BV3="Yes","","         Hybrid families minimum - check"))</f>
        <v xml:space="preserve">         Hybrid families minimum - check</v>
      </c>
      <c r="T11" s="166"/>
      <c r="U11" s="166"/>
      <c r="V11" s="166"/>
      <c r="W11" s="166"/>
      <c r="X11" s="163"/>
      <c r="Y11" s="308" t="s">
        <v>1959</v>
      </c>
      <c r="Z11" s="309"/>
      <c r="AA11" s="309"/>
      <c r="AB11" s="310"/>
      <c r="AC11" s="14"/>
      <c r="AD11" s="14"/>
      <c r="AF11" s="61"/>
      <c r="AG11" s="61"/>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2"/>
      <c r="BU11" s="91" t="s">
        <v>571</v>
      </c>
      <c r="BV11" s="93" t="str">
        <f>IF(OR(BU9="Team Free / 12 and under",BU9="Team Free / Youth 13 - 15"),"Y","N")</f>
        <v>N</v>
      </c>
      <c r="CN11" s="91"/>
      <c r="CO11" s="91"/>
      <c r="CP11" s="91"/>
      <c r="DD11" s="201" t="s">
        <v>1772</v>
      </c>
      <c r="DG11" s="286" t="s">
        <v>1772</v>
      </c>
      <c r="DH11" s="286"/>
      <c r="DI11" s="286"/>
      <c r="DJ11" s="286"/>
      <c r="DK11" s="286"/>
      <c r="DL11" s="286"/>
      <c r="DM11" s="286"/>
      <c r="DN11" s="286"/>
      <c r="DO11" s="286"/>
      <c r="DQ11" s="304" t="s">
        <v>2512</v>
      </c>
      <c r="DR11" s="305"/>
      <c r="DS11" s="305"/>
      <c r="DT11" s="306"/>
      <c r="DV11" s="291" t="s">
        <v>2407</v>
      </c>
      <c r="DW11" s="292"/>
      <c r="EO11" s="88"/>
      <c r="EP11" s="88"/>
      <c r="EQ11" s="88"/>
      <c r="ER11" s="88"/>
      <c r="ES11" s="88"/>
      <c r="ET11" s="88"/>
      <c r="EU11" s="88"/>
      <c r="EV11" s="88"/>
      <c r="EW11" s="88"/>
      <c r="EX11" s="88"/>
      <c r="EY11" s="88"/>
      <c r="EZ11" s="88"/>
      <c r="FA11" s="88"/>
      <c r="FB11" s="88"/>
      <c r="FC11" s="88"/>
      <c r="FD11" s="88"/>
      <c r="FE11" s="88"/>
      <c r="FF11" s="88"/>
      <c r="FG11" s="88"/>
      <c r="FH11" s="88"/>
      <c r="FI11" s="88"/>
      <c r="FJ11" s="88"/>
      <c r="FK11" s="88"/>
      <c r="FL11" s="88"/>
      <c r="FM11" s="88"/>
      <c r="FN11" s="88"/>
      <c r="FO11" s="88"/>
      <c r="FP11" s="88"/>
      <c r="FQ11" s="88"/>
      <c r="FR11" s="88"/>
      <c r="FS11" s="88"/>
      <c r="FT11" s="88"/>
      <c r="FU11" s="88"/>
      <c r="FV11" s="88"/>
      <c r="FW11" s="88"/>
      <c r="FX11" s="88"/>
      <c r="FY11" s="88"/>
      <c r="FZ11" s="88"/>
      <c r="GA11" s="88"/>
      <c r="GB11" s="88"/>
      <c r="GC11" s="88"/>
      <c r="GD11" s="88"/>
      <c r="GE11" s="88"/>
      <c r="GF11" s="88"/>
      <c r="GG11" s="88"/>
      <c r="GH11" s="88"/>
      <c r="GI11" s="88"/>
      <c r="GJ11" s="88"/>
      <c r="GK11" s="88"/>
      <c r="GL11" s="88"/>
      <c r="GM11" s="88"/>
      <c r="GN11" s="88"/>
      <c r="GO11" s="88"/>
      <c r="GP11" s="88"/>
      <c r="GQ11" s="88"/>
      <c r="GR11" s="88"/>
      <c r="GS11" s="88"/>
      <c r="GT11" s="88"/>
      <c r="GU11" s="88"/>
      <c r="GY11" s="91"/>
    </row>
    <row r="12" spans="1:231" ht="15" customHeight="1" thickBot="1" x14ac:dyDescent="0.4">
      <c r="A12" s="257">
        <v>1.0000578703703704</v>
      </c>
      <c r="B12" s="257" t="str">
        <f>IFERROR(TIME(0,C14,D14-5),"")</f>
        <v/>
      </c>
      <c r="C12" s="42" t="str">
        <f>IFERROR(IF($T$5="",INDEX(Data!F3:F38,MATCH(BU9,Data!G3:G38,0)),INDEX(Data!F53:F88,MATCH(BU9,Data!G53:G88,0))),"")</f>
        <v/>
      </c>
      <c r="D12" s="257" t="str">
        <f>IFERROR(TIME(0,C14,D14+5),"")</f>
        <v/>
      </c>
      <c r="E12" s="12"/>
      <c r="F12" s="12" t="s">
        <v>41</v>
      </c>
      <c r="H12" s="14" t="str">
        <f>IFERROR(IF($T$5="",INDEX(Data!H$3:H$38,MATCH($BU$9,Data!$G$3:$G$38,0)),INDEX(Data!H$53:H$88,MATCH($BU$9,Data!$G$53:$G$88,0))),"")</f>
        <v/>
      </c>
      <c r="I12" s="14" t="str">
        <f>IFERROR(IF($T$5="",INDEX(Data!J$3:J$38,MATCH($BU$9,Data!$G$3:$G$38,0)),INDEX(Data!J$53:J$88,MATCH($BU$9,Data!$G$53:$G$88,0))),"")</f>
        <v/>
      </c>
      <c r="J12" s="14" t="str">
        <f>IFERROR(IF($T$5="",INDEX(Data!I$3:I$38,MATCH($BU$9,Data!$G$3:$G$38,0)),INDEX(Data!I$53:I$88,MATCH($BU$9,Data!$G$53:$G$88,0))),"")</f>
        <v/>
      </c>
      <c r="K12" s="14" t="str">
        <f>IFERROR(IF($T$5="",INDEX(Data!L$3:L$38,MATCH($BU$9,Data!$G$3:$G$38,0)),INDEX(Data!L$53:L$88,MATCH($BU$9,Data!$G$53:$G$88,0))),"")</f>
        <v/>
      </c>
      <c r="L12" s="14" t="str">
        <f>IFERROR(IF($T$5="",INDEX(Data!N$3:N$38,MATCH($BU$9,Data!$G$3:$G$38,0)),INDEX(Data!N$53:N$88,MATCH($BU$9,Data!$G$53:$G$88,0))),"")</f>
        <v/>
      </c>
      <c r="M12" s="14" t="str">
        <f>IFERROR(IF($T$5="",INDEX(Data!O$3:O$38,MATCH($BU$9,Data!$G$3:$G$38,0)),INDEX(Data!O$53:O$88,MATCH($BU$9,Data!$G$53:$G$88,0))),"")</f>
        <v/>
      </c>
      <c r="N12" s="14" t="str">
        <f>IFERROR(IF($T$5="",INDEX(Data!P$3:P$38,MATCH($BU$9,Data!$G$3:$G$38,0)),INDEX(Data!P$53:P$88,MATCH($BU$9,Data!$G$53:$G$88,0))),"")</f>
        <v/>
      </c>
      <c r="O12" s="14" t="str">
        <f>IFERROR(IF($T$5="",INDEX(Data!R$3:R$38,MATCH($BU$9,Data!$G$3:$G$38,0)),INDEX(Data!R$53:R$88,MATCH($BU$9,Data!$G$53:$G$88,0))),"")</f>
        <v/>
      </c>
      <c r="P12" s="14" t="str">
        <f>IFERROR(IF($T$5="",INDEX(Data!S$3:S$38,MATCH($BU$9,Data!$G$3:$G$38,0)),INDEX(Data!S$53:S$88,MATCH($BU$9,Data!$G$53:$G$88,0))),"")</f>
        <v/>
      </c>
      <c r="Q12" s="14" t="str">
        <f>IFERROR(IF($T$5="",INDEX(Data!Q$3:Q$38,MATCH($BU$9,Data!$G$3:$G$38,0)),INDEX(Data!Q$53:Q$88,MATCH($BU$9,Data!$G$53:$G$88,0))),"")</f>
        <v/>
      </c>
      <c r="R12" s="14"/>
      <c r="S12" s="87" t="str">
        <f>IF(BV8="T","TRE-1","T")</f>
        <v>T</v>
      </c>
      <c r="T12" s="87" t="str">
        <f>IF(BV8="T","TRE-2","S")</f>
        <v>S</v>
      </c>
      <c r="U12" s="87" t="str">
        <f>IF(BV8="T","TRE-3","R")</f>
        <v>R</v>
      </c>
      <c r="V12" s="87" t="str">
        <f>IF(BV8="T",IF(LEFT(F8,5)="Mixed","","TRE-4"),"F")</f>
        <v>F</v>
      </c>
      <c r="W12" s="87" t="str">
        <f>IF(BV8="T",IF(LEFT(F8,5)="Mixed","","TRE-5"),"A")</f>
        <v>A</v>
      </c>
      <c r="X12" s="87" t="str">
        <f>IF(AND(BV4="No",BV8&lt;&gt;"T"),"C","")</f>
        <v>C</v>
      </c>
      <c r="Y12" s="14" t="s">
        <v>1631</v>
      </c>
      <c r="Z12" s="14" t="s">
        <v>133</v>
      </c>
      <c r="AA12" s="14" t="s">
        <v>625</v>
      </c>
      <c r="AB12" s="14" t="s">
        <v>130</v>
      </c>
      <c r="AC12" s="14"/>
      <c r="AD12" s="14"/>
      <c r="AF12" s="61"/>
      <c r="AG12" s="61"/>
      <c r="AH12" s="90"/>
      <c r="AI12" s="90"/>
      <c r="AJ12" s="90"/>
      <c r="AK12" s="90"/>
      <c r="AL12" s="90"/>
      <c r="AM12" s="90"/>
      <c r="AN12" s="90"/>
      <c r="AO12" s="90"/>
      <c r="AP12" s="90"/>
      <c r="AQ12" s="90"/>
      <c r="AR12" s="90"/>
      <c r="AS12" s="90"/>
      <c r="AT12" s="90"/>
      <c r="AU12" s="90"/>
      <c r="AV12" s="90"/>
      <c r="AW12" s="90" t="s">
        <v>2443</v>
      </c>
      <c r="AX12" s="94">
        <v>0</v>
      </c>
      <c r="AY12" s="90"/>
      <c r="AZ12" s="90"/>
      <c r="BA12" s="90"/>
      <c r="BB12" s="90"/>
      <c r="BC12" s="90"/>
      <c r="BD12" s="90"/>
      <c r="BE12" s="90"/>
      <c r="BF12" s="90"/>
      <c r="BG12" s="90"/>
      <c r="BH12" s="90"/>
      <c r="BI12" s="90"/>
      <c r="BJ12" s="90"/>
      <c r="BK12" s="90"/>
      <c r="BL12" s="90"/>
      <c r="BM12" s="90"/>
      <c r="BN12" s="90"/>
      <c r="BO12" s="90"/>
      <c r="BP12" s="90"/>
      <c r="BQ12" s="90"/>
      <c r="BR12" s="90"/>
      <c r="BS12" s="90"/>
      <c r="BT12" s="92"/>
      <c r="BU12" s="94">
        <v>1</v>
      </c>
      <c r="BV12" s="95" t="e">
        <f>IFERROR(SECOND(BU14-BV14),SECOND(BV14-BU14))</f>
        <v>#N/A</v>
      </c>
      <c r="CN12" s="91"/>
      <c r="CO12" s="91"/>
      <c r="CP12" s="91"/>
      <c r="DD12" s="154" t="str">
        <f t="array" ref="DD12">IFERROR(INDEX($DN$19:$DN$68,MATCH(INDEX($DN$19:$DN$68,(SMALL(IF($DN$19:$DN$68&lt;&gt;"",ROW($DN$19:$DN$68)-ROW($DN$19)+1),1))),$DN$19:$DN$68,0),1),"")</f>
        <v/>
      </c>
      <c r="DE12" s="154" t="str">
        <f>IF(COUNTIF($DD$12:$DD$14,DD12)&gt;1,"X","")</f>
        <v>X</v>
      </c>
      <c r="DF12" s="202"/>
      <c r="DG12" s="200" t="str">
        <f>DG13</f>
        <v/>
      </c>
      <c r="DH12" s="185" t="str">
        <f>IF(DH13&lt;&gt;"",CONCATENATE("2",DH13),"")</f>
        <v/>
      </c>
      <c r="DI12" s="185" t="str">
        <f ca="1">DI13</f>
        <v/>
      </c>
      <c r="DJ12" s="185" t="str">
        <f t="shared" ref="DJ12:DN12" ca="1" si="1">DJ13</f>
        <v/>
      </c>
      <c r="DK12" s="185" t="str">
        <f t="shared" ca="1" si="1"/>
        <v/>
      </c>
      <c r="DL12" s="185" t="str">
        <f t="shared" ca="1" si="1"/>
        <v/>
      </c>
      <c r="DM12" s="185" t="str">
        <f t="shared" ca="1" si="1"/>
        <v/>
      </c>
      <c r="DN12" s="185" t="str">
        <f t="shared" si="1"/>
        <v/>
      </c>
      <c r="DO12" s="154" t="str">
        <f>IF(DO13&lt;&gt;"",CONCATENATE("2",DO13),"")</f>
        <v/>
      </c>
      <c r="DP12" s="188"/>
      <c r="DQ12" s="154" t="s">
        <v>1631</v>
      </c>
      <c r="DR12" s="154" t="s">
        <v>133</v>
      </c>
      <c r="DS12" s="154" t="s">
        <v>625</v>
      </c>
      <c r="DT12" s="154" t="s">
        <v>130</v>
      </c>
      <c r="DV12" s="154" t="str">
        <f>DV13</f>
        <v/>
      </c>
      <c r="DW12" s="154" t="str">
        <f>DW13</f>
        <v/>
      </c>
      <c r="EI12" s="88" t="s">
        <v>1919</v>
      </c>
      <c r="EO12" s="88"/>
      <c r="EP12" s="88"/>
      <c r="EQ12" s="88"/>
      <c r="ER12" s="88"/>
      <c r="ES12" s="88"/>
      <c r="ET12" s="88"/>
      <c r="EU12" s="88"/>
      <c r="EV12" s="88"/>
      <c r="EW12" s="88"/>
      <c r="EX12" s="88"/>
      <c r="EY12" s="88"/>
      <c r="EZ12" s="88"/>
      <c r="FA12" s="88"/>
      <c r="FB12" s="88"/>
      <c r="FC12" s="88"/>
      <c r="FD12" s="88"/>
      <c r="FE12" s="88"/>
      <c r="FF12" s="88"/>
      <c r="FG12" s="88"/>
      <c r="FH12" s="88"/>
      <c r="FI12" s="88"/>
      <c r="FJ12" s="88"/>
      <c r="FK12" s="88"/>
      <c r="FL12" s="88"/>
      <c r="FM12" s="88"/>
      <c r="FN12" s="88"/>
      <c r="FO12" s="88"/>
      <c r="FP12" s="88"/>
      <c r="FQ12" s="88"/>
      <c r="FR12" s="88"/>
      <c r="FS12" s="88"/>
      <c r="FT12" s="88"/>
      <c r="FU12" s="88"/>
      <c r="FV12" s="88"/>
      <c r="FW12" s="88"/>
      <c r="FX12" s="88"/>
      <c r="FY12" s="88"/>
      <c r="FZ12" s="88"/>
      <c r="GA12" s="88"/>
      <c r="GB12" s="88"/>
      <c r="GC12" s="88"/>
      <c r="GD12" s="88"/>
      <c r="GE12" s="88"/>
      <c r="GF12" s="88"/>
      <c r="GG12" s="88"/>
      <c r="GH12" s="88"/>
      <c r="GI12" s="88"/>
      <c r="GJ12" s="88"/>
      <c r="GK12" s="88"/>
      <c r="GL12" s="88"/>
      <c r="GM12" s="88"/>
      <c r="GN12" s="88"/>
      <c r="GO12" s="88"/>
      <c r="GP12" s="88"/>
      <c r="GQ12" s="88"/>
      <c r="GR12" s="88"/>
      <c r="GS12" s="88"/>
      <c r="GT12" s="88"/>
      <c r="GU12" s="88"/>
      <c r="GW12" s="111" t="s">
        <v>1918</v>
      </c>
      <c r="GY12" s="154" t="str">
        <f>IF($F$8="Mixed Duet Technical",IF(COUNTIF(GW14:GY14,""),"No","Yes"),IF(COUNTIF(GW14:HA14,""),"No","Yes"))</f>
        <v>No</v>
      </c>
    </row>
    <row r="13" spans="1:231" ht="15" customHeight="1" thickBot="1" x14ac:dyDescent="0.4">
      <c r="A13" s="41"/>
      <c r="B13" s="41" t="str">
        <f>IF(CP17&gt;D12,"Y","")</f>
        <v/>
      </c>
      <c r="C13" s="17" t="str">
        <f>IF(OR(CP17&lt;B12,CP17&gt;D12),"Y","")</f>
        <v>Y</v>
      </c>
      <c r="D13" s="18"/>
      <c r="E13" s="12"/>
      <c r="F13" s="12" t="s">
        <v>42</v>
      </c>
      <c r="G13" s="14">
        <f t="shared" ref="G13" si="2">COUNTIF($F$19:$F$68,G10)</f>
        <v>0</v>
      </c>
      <c r="H13" s="14" t="str">
        <f t="shared" ref="H13:Q13" si="3">IF(OR($F$7="",$F$8=""),"",COUNTIF($F$19:$F$68,H10))</f>
        <v/>
      </c>
      <c r="I13" s="14" t="str">
        <f t="shared" si="3"/>
        <v/>
      </c>
      <c r="J13" s="14" t="str">
        <f t="shared" si="3"/>
        <v/>
      </c>
      <c r="K13" s="14" t="str">
        <f t="shared" si="3"/>
        <v/>
      </c>
      <c r="L13" s="14" t="str">
        <f t="shared" si="3"/>
        <v/>
      </c>
      <c r="M13" s="14" t="str">
        <f t="shared" si="3"/>
        <v/>
      </c>
      <c r="N13" s="14" t="str">
        <f t="shared" si="3"/>
        <v/>
      </c>
      <c r="O13" s="14" t="str">
        <f>IF(OR($F$7="",$F$8=""),"",IF(COUNTIF($F$19:$F$68,O10)&gt;1,COUNTIF($F$19:$F$68,O10),COUNTIF($J$19:$J$68,"ChoHy")))</f>
        <v/>
      </c>
      <c r="P13" s="14" t="str">
        <f t="shared" si="3"/>
        <v/>
      </c>
      <c r="Q13" s="14" t="str">
        <f t="shared" si="3"/>
        <v/>
      </c>
      <c r="R13" s="14"/>
      <c r="S13" s="167" t="str">
        <f>IF(OR($F$7="",$F$8=""),"",IF($BV$8="T",IF(GW14="X","OK","Not OK"),IF($BV$3="No",IF(GW17&gt;0,"OK","Not OK"),"")))</f>
        <v/>
      </c>
      <c r="T13" s="167" t="str">
        <f>IF(OR($F$7="",$F$8=""),"",IF($BV$8="T",IF(GX14="X","OK","Not OK"),IF($BV$3="No",IF(GX17&gt;0,"OK","Not OK"),"")))</f>
        <v/>
      </c>
      <c r="U13" s="167" t="str">
        <f>IF(OR($F$7="",$F$8=""),"",IF($BV$8="T",IF(GY14="X","OK","Not OK"),IF($BV$3="No",IF(GY17&gt;0,"OK","Not OK"),"")))</f>
        <v/>
      </c>
      <c r="V13" s="167" t="str">
        <f>IF(OR($F$7="",$F$8=""),"",IF($BV$8="T",IF(LEFT(F8,5)="Mixed","",IF(GZ14="X","OK","Not OK")),IF($BV$3="No",IF(GZ17&gt;0,"OK","Not OK"),"")))</f>
        <v/>
      </c>
      <c r="W13" s="167" t="str">
        <f>IF(OR($F$7="",$F$8=""),"",IF($BV$8="T",IF(LEFT(F8,5)="Mixed","",IF(HA14="X","OK","Not OK")),IF($BV$3="No",IF(HA17&gt;0,"OK","Not OK"),"")))</f>
        <v/>
      </c>
      <c r="X13" s="87" t="str">
        <f>IF(OR($F$7="",$F$8=""),"",IF(AND($BV$3="No",X12&lt;&gt;""),IF(HB17&gt;0,"OK","Not OK"),""))</f>
        <v/>
      </c>
      <c r="Y13" s="87" t="str">
        <f>IF($BV$3="Yes",IF(AND(DQ13&gt;0,DQ13&lt;3),"OK","Not OK"),"")</f>
        <v/>
      </c>
      <c r="Z13" s="87" t="str">
        <f>IF($BV$3="Yes",IF(AND(DR13&gt;0,DR13&lt;3),"OK","Not OK"),"")</f>
        <v/>
      </c>
      <c r="AA13" s="244" t="str">
        <f>IF($BV$3="Yes",IF(AND(DS13&gt;0,DS13&lt;3),"OK",IF(AND($T$5="",LEFT($F$7,2)="Yo"),"Optional","Not OK")),"")</f>
        <v/>
      </c>
      <c r="AB13" s="87" t="str">
        <f>IF($BV$3="Yes",IF(AND(DT13&gt;0,DT13&lt;3),"OK","Not OK"),"")</f>
        <v/>
      </c>
      <c r="AF13" s="61"/>
      <c r="AG13" s="61"/>
      <c r="AH13" s="90"/>
      <c r="AI13" s="90"/>
      <c r="AJ13" s="90"/>
      <c r="AK13" s="90"/>
      <c r="AL13" s="90"/>
      <c r="AM13" s="90"/>
      <c r="AN13" s="20" t="s">
        <v>50</v>
      </c>
      <c r="AO13" s="255">
        <f>SUM(AO18:AO68)</f>
        <v>0</v>
      </c>
      <c r="AP13" s="90"/>
      <c r="AQ13" s="90"/>
      <c r="AR13" s="90"/>
      <c r="AS13" s="90"/>
      <c r="AT13" s="90"/>
      <c r="AU13" s="90"/>
      <c r="AV13" s="90"/>
      <c r="AW13" s="90" t="s">
        <v>2444</v>
      </c>
      <c r="AX13" s="94">
        <v>2.8935185185185184E-4</v>
      </c>
      <c r="AY13" s="90"/>
      <c r="AZ13" s="90"/>
      <c r="BA13" s="90"/>
      <c r="BB13" s="90"/>
      <c r="BC13" s="90"/>
      <c r="BD13" s="90"/>
      <c r="BE13" s="90"/>
      <c r="BF13" s="90"/>
      <c r="BG13" s="90"/>
      <c r="BH13" s="90"/>
      <c r="BI13" s="90"/>
      <c r="BJ13" s="90"/>
      <c r="BK13" s="90"/>
      <c r="BL13" s="90"/>
      <c r="BM13" s="90"/>
      <c r="BN13" s="90"/>
      <c r="BO13" s="90"/>
      <c r="BP13" s="90"/>
      <c r="BQ13" s="90"/>
      <c r="BR13" s="90"/>
      <c r="BS13" s="90"/>
      <c r="BT13" s="96"/>
      <c r="BU13" s="94"/>
      <c r="BV13" s="94" t="e">
        <f>BU14-BV14</f>
        <v>#N/A</v>
      </c>
      <c r="CN13" s="91"/>
      <c r="CO13" s="91"/>
      <c r="CP13" s="91"/>
      <c r="DD13" s="154" t="str">
        <f t="array" ref="DD13">IFERROR(INDEX($DN$19:$DN$68,MATCH(INDEX($DN$19:$DN$68,(SMALL(IF($DN$19:$DN$68&lt;&gt;"",ROW($DN$19:$DN$68)-ROW($DN$19)+1),2))),$DN$19:$DN$68,0),1),"")</f>
        <v/>
      </c>
      <c r="DE13" s="154" t="str">
        <f>IF(COUNTIF($DD$12:$DD$14,DD13)&gt;1,"X","")</f>
        <v>X</v>
      </c>
      <c r="DF13" s="202"/>
      <c r="DG13" s="200" t="str">
        <f t="array" ref="DG13">IFERROR(INDEX(TeamAcro_A_Pos1,MATCH(TRUE,INDEX((TeamAcro_A_Pos1&lt;&gt;""),),0)),"")</f>
        <v/>
      </c>
      <c r="DH13" s="186" t="str">
        <f t="array" ref="DH13">IFERROR(INDEX(TeamAcro_A_Pos2,MATCH(TRUE,INDEX((TeamAcro_A_Pos2&lt;&gt;""),),0)),"")</f>
        <v/>
      </c>
      <c r="DI13" s="154" t="str">
        <f t="array" aca="1" ref="DI13" ca="1">IFERROR(INDEX(TeamAcro_B_Cons,MATCH(TRUE,INDEX((TeamAcro_B_Cons&lt;&gt;""),),0)),"")</f>
        <v/>
      </c>
      <c r="DJ13" s="154" t="str">
        <f t="array" aca="1" ref="DJ13" ca="1">IFERROR(INDEX(TeamAcro_B_Conx,MATCH(TRUE,INDEX((TeamAcro_B_Conx&lt;&gt;""),),0)),"")</f>
        <v/>
      </c>
      <c r="DK13" s="154" t="str">
        <f t="array" aca="1" ref="DK13" ca="1">IFERROR(INDEX(TeamAcro_C_Cons,MATCH(TRUE,INDEX((TeamAcro_C_Cons&lt;&gt;""),),0)),"")</f>
        <v/>
      </c>
      <c r="DL13" s="154" t="str" cm="1">
        <f t="array" aca="1" ref="DL13" ca="1">IFERROR(INDEX(TeamAcro_P_Cons,MATCH(TRUE,INDEX((TeamAcro_P_Cons&lt;&gt;""),),0)),"")</f>
        <v/>
      </c>
      <c r="DM13" s="154" t="str">
        <f t="array" aca="1" ref="DM13" ca="1">IFERROR(INDEX(TeamAcro_P_Conx,MATCH(TRUE,INDEX((TeamAcro_P_Conx&lt;&gt;""),),0)),"")</f>
        <v/>
      </c>
      <c r="DN13" s="154" t="str">
        <f t="array" ref="DN13">IFERROR(INDEX(TeamAcro_P_Pos1,MATCH(TRUE,INDEX((TeamAcro_P_Pos1&lt;&gt;""),),0)),"")</f>
        <v/>
      </c>
      <c r="DO13" s="154" t="str">
        <f t="array" ref="DO13">IFERROR(INDEX(TeamAcro_P_Pos2,MATCH(TRUE,INDEX((TeamAcro_P_Pos2&lt;&gt;""),),0)),"")</f>
        <v/>
      </c>
      <c r="DP13" s="188"/>
      <c r="DQ13" s="154">
        <f>COUNTIF($EF$19:$EF$68,"A")</f>
        <v>0</v>
      </c>
      <c r="DR13" s="154">
        <f>COUNTIF($EF$19:$EF$68,"B")</f>
        <v>0</v>
      </c>
      <c r="DS13" s="154">
        <f>COUNTIF($EF$19:$EF$68,"C")</f>
        <v>0</v>
      </c>
      <c r="DT13" s="154">
        <f>COUNTIF($EF$19:$EF$68,"P")</f>
        <v>0</v>
      </c>
      <c r="DV13" s="154" t="str" cm="1">
        <f t="array" ref="DV13">IFERROR(INDEX(Team_Acro_P_Chk1,MATCH(TRUE,INDEX((Team_Acro_P_Chk1&lt;&gt;""),),0)),"")</f>
        <v/>
      </c>
      <c r="DW13" s="154" t="str" cm="1">
        <f t="array" ref="DW13">IFERROR(INDEX(Team_Acro_P_Chk2,MATCH(TRUE,INDEX((Team_Acro_P_Chk2&lt;&gt;""),),0)),"")</f>
        <v/>
      </c>
      <c r="EI13" s="154" t="str">
        <f>IF(COUNTIF(EI19:EI68,"X"),"Yes","")</f>
        <v/>
      </c>
      <c r="EO13" s="88"/>
      <c r="EP13" s="88"/>
      <c r="EQ13" s="88"/>
      <c r="ER13" s="88"/>
      <c r="ES13" s="88"/>
      <c r="ET13" s="88"/>
      <c r="EU13" s="88"/>
      <c r="EV13" s="88"/>
      <c r="EW13" s="88"/>
      <c r="EX13" s="88"/>
      <c r="EY13" s="88"/>
      <c r="EZ13" s="88"/>
      <c r="FA13" s="88"/>
      <c r="FB13" s="88"/>
      <c r="FC13" s="88"/>
      <c r="FD13" s="88"/>
      <c r="FE13" s="88"/>
      <c r="FF13" s="88"/>
      <c r="FG13" s="88"/>
      <c r="FH13" s="88"/>
      <c r="FI13" s="88"/>
      <c r="FJ13" s="88"/>
      <c r="FK13" s="88"/>
      <c r="FL13" s="88"/>
      <c r="FM13" s="88"/>
      <c r="FN13" s="88"/>
      <c r="FO13" s="88"/>
      <c r="FP13" s="88"/>
      <c r="FQ13" s="88"/>
      <c r="FR13" s="88"/>
      <c r="FS13" s="88"/>
      <c r="FT13" s="88"/>
      <c r="FU13" s="88"/>
      <c r="FV13" s="88"/>
      <c r="FW13" s="88"/>
      <c r="FX13" s="88"/>
      <c r="FY13" s="88"/>
      <c r="FZ13" s="88"/>
      <c r="GA13" s="88"/>
      <c r="GB13" s="88"/>
      <c r="GC13" s="88"/>
      <c r="GD13" s="88"/>
      <c r="GE13" s="88"/>
      <c r="GF13" s="88"/>
      <c r="GG13" s="88"/>
      <c r="GH13" s="88"/>
      <c r="GI13" s="88"/>
      <c r="GJ13" s="88"/>
      <c r="GK13" s="88"/>
      <c r="GL13" s="88"/>
      <c r="GM13" s="88"/>
      <c r="GN13" s="88"/>
      <c r="GO13" s="88"/>
      <c r="GP13" s="88"/>
      <c r="GQ13" s="88"/>
      <c r="GR13" s="88"/>
      <c r="GS13" s="88"/>
      <c r="GT13" s="88"/>
      <c r="GU13" s="88"/>
      <c r="GW13" s="154" t="s">
        <v>1924</v>
      </c>
      <c r="GX13" s="154" t="s">
        <v>1925</v>
      </c>
      <c r="GY13" s="154" t="s">
        <v>1926</v>
      </c>
      <c r="GZ13" s="154" t="s">
        <v>1927</v>
      </c>
      <c r="HA13" s="154" t="s">
        <v>1928</v>
      </c>
      <c r="HK13" s="91" t="s">
        <v>2409</v>
      </c>
    </row>
    <row r="14" spans="1:231" ht="18.75" customHeight="1" thickBot="1" x14ac:dyDescent="0.4">
      <c r="A14" s="16"/>
      <c r="B14" s="20" t="s">
        <v>46</v>
      </c>
      <c r="C14" s="21" t="str">
        <f>IFERROR(IF($T$5="",MINUTE(INDEX(Data!$F$3:$F$38,MATCH(BU9,Data!$G$3:$G$38,0))),MINUTE(INDEX(Data!$F$53:$F$88,MATCH(BU9,Data!$G$53:$G$88,0)))),"")</f>
        <v/>
      </c>
      <c r="D14" s="21" t="str">
        <f>IFERROR(IF($T$5="",SECOND(INDEX(Data!$F$3:$F$38,MATCH(BU9,Data!$G$3:$G$38,0))),SECOND(INDEX(Data!$F$53:$F$88,MATCH(BU9,Data!$G$53:$G$88,0)))),"")</f>
        <v/>
      </c>
      <c r="E14" s="21"/>
      <c r="G14" s="160"/>
      <c r="H14" s="232">
        <f>IFERROR(IF(H12-H13=0,0,1),0)</f>
        <v>0</v>
      </c>
      <c r="I14" s="232">
        <f t="shared" ref="I14:Q14" si="4">IFERROR(IF(I12-I13=0,0,1),0)</f>
        <v>0</v>
      </c>
      <c r="J14" s="232">
        <f t="shared" si="4"/>
        <v>0</v>
      </c>
      <c r="K14" s="232">
        <f t="shared" si="4"/>
        <v>0</v>
      </c>
      <c r="L14" s="232">
        <f t="shared" si="4"/>
        <v>0</v>
      </c>
      <c r="M14" s="232">
        <f t="shared" si="4"/>
        <v>0</v>
      </c>
      <c r="N14" s="232">
        <f t="shared" si="4"/>
        <v>0</v>
      </c>
      <c r="O14" s="232">
        <f t="shared" si="4"/>
        <v>0</v>
      </c>
      <c r="P14" s="232">
        <f t="shared" si="4"/>
        <v>0</v>
      </c>
      <c r="Q14" s="232">
        <f t="shared" si="4"/>
        <v>0</v>
      </c>
      <c r="R14" s="184" t="str">
        <f>IF(SUM(H14:Q14)=0,"OK","No")</f>
        <v>OK</v>
      </c>
      <c r="W14" s="256"/>
      <c r="X14" s="258"/>
      <c r="AA14" s="18"/>
      <c r="AB14" s="18"/>
      <c r="AF14" s="61"/>
      <c r="AG14" s="61"/>
      <c r="AH14" s="90"/>
      <c r="AI14" s="90"/>
      <c r="AJ14" s="90"/>
      <c r="AK14" s="90"/>
      <c r="AL14" s="90"/>
      <c r="AM14" s="90"/>
      <c r="AN14" s="90"/>
      <c r="AO14" s="90"/>
      <c r="AP14" s="90"/>
      <c r="AQ14" s="90"/>
      <c r="AR14" s="90"/>
      <c r="AS14" s="90"/>
      <c r="AT14" s="90"/>
      <c r="AU14" s="90"/>
      <c r="AV14" s="90"/>
      <c r="AW14" s="90" t="s">
        <v>2445</v>
      </c>
      <c r="AX14" s="94">
        <v>2.4305555555555555E-4</v>
      </c>
      <c r="AY14" s="90"/>
      <c r="AZ14" s="90"/>
      <c r="BA14" s="90"/>
      <c r="BB14" s="90"/>
      <c r="BC14" s="90"/>
      <c r="BD14" s="90"/>
      <c r="BE14" s="90"/>
      <c r="BF14" s="90"/>
      <c r="BG14" s="90"/>
      <c r="BH14" s="90"/>
      <c r="BI14" s="90"/>
      <c r="BJ14" s="90"/>
      <c r="BK14" s="90"/>
      <c r="BL14" s="90"/>
      <c r="BM14" s="90"/>
      <c r="BN14" s="90"/>
      <c r="BO14" s="90"/>
      <c r="BP14" s="90"/>
      <c r="BQ14" s="90"/>
      <c r="BR14" s="90"/>
      <c r="BS14" s="90"/>
      <c r="BT14" s="92"/>
      <c r="BU14" s="94" t="e">
        <f>IF(BV14=INDEX(Data!$F$3:$F$38,MATCH(BU9,Data!$G$3:$G$38,0)),"X",INDEX(Data!$F$3:$F$38,MATCH(BU9,Data!$G$3:$G$38,0))-BU12)</f>
        <v>#N/A</v>
      </c>
      <c r="BV14" s="93" t="e">
        <f>INDEX($CP$19:$CP$55,MATCH("x",$E$19:$E$55,0))</f>
        <v>#N/A</v>
      </c>
      <c r="BW14" s="97">
        <v>2.488425925925926E-3</v>
      </c>
      <c r="CN14" s="91"/>
      <c r="CO14" s="91"/>
      <c r="CP14" s="91"/>
      <c r="DD14" s="154" t="str">
        <f t="array" ref="DD14">IFERROR(INDEX($DN$19:$DN$68,MATCH(INDEX($DN$19:$DN$68,(SMALL(IF($DN$19:$DN$68&lt;&gt;"",ROW($DN$19:$DN$68)-ROW($DN$19)+1),3))),$DN$19:$DN$68,0),1),"")</f>
        <v/>
      </c>
      <c r="DE14" s="154" t="str">
        <f>IF(COUNTIF($DD$12:$DD$14,DD14)&gt;1,"X","")</f>
        <v>X</v>
      </c>
      <c r="EO14" s="88"/>
      <c r="EP14" s="88"/>
      <c r="EQ14" s="88"/>
      <c r="ER14" s="88"/>
      <c r="ES14" s="88"/>
      <c r="ET14" s="88"/>
      <c r="EU14" s="88"/>
      <c r="EV14" s="88" t="s">
        <v>1919</v>
      </c>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W14" s="154" t="str">
        <f>IF(COUNTIF(TRE_check,RIGHT(GW13,1)),"X","")</f>
        <v/>
      </c>
      <c r="GX14" s="154" t="str">
        <f>IF(COUNTIF(TRE_check,RIGHT(GX13,1)),"X","")</f>
        <v/>
      </c>
      <c r="GY14" s="154" t="str">
        <f>IF(COUNTIF(TRE_check,RIGHT(GY13,1)),"X","")</f>
        <v/>
      </c>
      <c r="GZ14" s="154" t="str">
        <f>IF(COUNTIF(TRE_check,RIGHT(GZ13,1)),"X","")</f>
        <v/>
      </c>
      <c r="HA14" s="154" t="str">
        <f>IF(COUNTIF(TRE_check,RIGHT(HA13,1)),"X","")</f>
        <v/>
      </c>
    </row>
    <row r="15" spans="1:231" ht="15.75" customHeight="1" thickBot="1" x14ac:dyDescent="0.4">
      <c r="A15" s="259" t="s">
        <v>7</v>
      </c>
      <c r="B15" s="260"/>
      <c r="C15" s="260"/>
      <c r="D15" s="261"/>
      <c r="E15" s="261"/>
      <c r="F15" s="261"/>
      <c r="G15" s="261"/>
      <c r="H15" s="261"/>
      <c r="I15" s="261"/>
      <c r="J15" s="262"/>
      <c r="K15" s="262"/>
      <c r="L15" s="262"/>
      <c r="M15" s="262"/>
      <c r="N15" s="262"/>
      <c r="O15" s="262"/>
      <c r="P15" s="278" t="e" cm="1">
        <f t="array" aca="1" ref="P15" ca="1">CELL("Address")</f>
        <v>#N/A</v>
      </c>
      <c r="Q15" s="278" t="e" cm="1">
        <f t="array" aca="1" ref="Q15" ca="1">IF(AND(E20&lt;&gt;"PA",LEFT(INDIRECT(CONCATENATE("F",RIGHT(P15,2))),4)="Acro"),"X","")</f>
        <v>#N/A</v>
      </c>
      <c r="R15" s="262"/>
      <c r="S15" s="262"/>
      <c r="T15" s="262"/>
      <c r="U15" s="262"/>
      <c r="V15" s="262"/>
      <c r="W15" s="262"/>
      <c r="X15" s="262"/>
      <c r="Y15" s="262"/>
      <c r="Z15" s="262"/>
      <c r="AA15" s="262"/>
      <c r="AB15" s="262"/>
      <c r="AC15" s="262"/>
      <c r="AD15" s="262"/>
      <c r="AE15" s="262"/>
      <c r="AF15" s="262"/>
      <c r="AG15" s="262"/>
      <c r="AH15" s="262"/>
      <c r="AI15" s="262"/>
      <c r="AJ15" s="262"/>
      <c r="AK15" s="262"/>
      <c r="AL15" s="262"/>
      <c r="AM15" s="262"/>
      <c r="AN15" s="261"/>
      <c r="AO15" s="263"/>
      <c r="AP15" s="61"/>
      <c r="AQ15" s="61"/>
      <c r="AR15" s="90"/>
      <c r="AS15" s="90"/>
      <c r="AT15" s="90"/>
      <c r="AU15" s="90"/>
      <c r="AV15" s="90"/>
      <c r="AW15" s="90" t="s">
        <v>2446</v>
      </c>
      <c r="AX15" s="94">
        <v>2.4305555555555555E-4</v>
      </c>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8"/>
      <c r="CO15" s="91" t="str">
        <f>IFERROR(INDEX(Data!T3:T38,MATCH(BU9,Data!G3:G38,0)),"")</f>
        <v/>
      </c>
      <c r="CP15" s="91" t="str">
        <f>IFERROR(INDEX(Data!U3:U38,MATCH(BU9,Data!G3:G38,0)),"")</f>
        <v/>
      </c>
      <c r="CQ15" s="97">
        <v>2.372685185185075E-3</v>
      </c>
      <c r="CR15" s="91"/>
      <c r="CS15" s="91"/>
      <c r="CT15" s="91"/>
      <c r="CU15" s="91"/>
      <c r="CV15" s="91"/>
      <c r="CW15" s="91"/>
      <c r="CX15" s="91"/>
      <c r="CY15" s="91"/>
      <c r="CZ15" s="91"/>
      <c r="DN15" s="154" t="str">
        <f>IF(OR(DD12=DD13,DD12=DD14,DD13=DD14),"Yes","No")</f>
        <v>Yes</v>
      </c>
      <c r="DO15" s="154" t="str">
        <f>INDEX($DD$12:$DD$14,MATCH("X",$DE$12:$DE$14,0))</f>
        <v/>
      </c>
      <c r="DQ15" s="111"/>
      <c r="EI15" s="154" t="str" cm="1">
        <f t="array" ref="EI15">IFERROR(INDEX(EI20:EI69,MATCH("X",EI20:EI68,0)+1),"")</f>
        <v/>
      </c>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154" t="str">
        <f>IF(OR(COUNTBLANK(FQ19:FQ68)&lt;50,COUNTBLANK(FP19:FP68)&lt;50),"Yes","")</f>
        <v/>
      </c>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111" t="s">
        <v>1918</v>
      </c>
      <c r="GX15" s="88"/>
      <c r="GY15" s="154" t="str">
        <f>IF(COUNTIF(GW17:HB17,0),"No","Yes")</f>
        <v>No</v>
      </c>
      <c r="GZ15" s="88"/>
      <c r="HA15" s="88"/>
      <c r="HB15" s="88"/>
      <c r="HC15" s="88"/>
      <c r="HD15" s="88"/>
      <c r="HE15" s="88"/>
      <c r="HF15" s="91"/>
      <c r="HG15" s="91"/>
      <c r="HH15" s="91"/>
      <c r="HI15" s="91"/>
    </row>
    <row r="16" spans="1:231" ht="15" customHeight="1" x14ac:dyDescent="0.35">
      <c r="A16" s="22"/>
      <c r="C16" s="153"/>
      <c r="D16" s="153"/>
      <c r="E16" s="153"/>
      <c r="F16" s="153"/>
      <c r="G16" s="23"/>
      <c r="H16" s="296" t="s">
        <v>1627</v>
      </c>
      <c r="I16" s="297"/>
      <c r="J16" s="192"/>
      <c r="K16" s="190" t="s">
        <v>1937</v>
      </c>
      <c r="L16" s="190"/>
      <c r="M16" s="190"/>
      <c r="N16" s="190"/>
      <c r="O16" s="190"/>
      <c r="P16" s="190"/>
      <c r="Q16" s="193"/>
      <c r="R16" s="190" t="s">
        <v>1938</v>
      </c>
      <c r="S16" s="190"/>
      <c r="T16" s="190"/>
      <c r="U16" s="190"/>
      <c r="V16" s="190"/>
      <c r="W16" s="227"/>
      <c r="X16" s="190" t="s">
        <v>2518</v>
      </c>
      <c r="Y16" s="190"/>
      <c r="Z16" s="190"/>
      <c r="AA16" s="190"/>
      <c r="AB16" s="190"/>
      <c r="AC16" s="190"/>
      <c r="AD16" s="190"/>
      <c r="AE16" s="190"/>
      <c r="AF16" s="190"/>
      <c r="AG16" s="190"/>
      <c r="AH16" s="190"/>
      <c r="AI16" s="190"/>
      <c r="AJ16" s="190"/>
      <c r="AK16" s="225" t="s">
        <v>2311</v>
      </c>
      <c r="AL16" s="226"/>
      <c r="AM16" s="191"/>
      <c r="AN16" s="294" t="str">
        <f>IF($BV$5="OK","HYBRID BONUS","")</f>
        <v/>
      </c>
      <c r="AO16" s="24" t="s">
        <v>48</v>
      </c>
      <c r="AP16" s="61"/>
      <c r="AQ16" s="61"/>
      <c r="AR16" s="90"/>
      <c r="AS16" s="90"/>
      <c r="AT16" s="90"/>
      <c r="AU16" s="90"/>
      <c r="AV16" s="90"/>
      <c r="AW16" s="316" t="s">
        <v>2431</v>
      </c>
      <c r="AX16" s="317"/>
      <c r="AY16" s="317"/>
      <c r="AZ16" s="317"/>
      <c r="BA16" s="318"/>
      <c r="BB16" s="90"/>
      <c r="BC16" s="90"/>
      <c r="BD16" s="90"/>
      <c r="BE16" s="90"/>
      <c r="BF16" s="90"/>
      <c r="BG16" s="90"/>
      <c r="BH16" s="90"/>
      <c r="BI16" s="90" t="s">
        <v>1707</v>
      </c>
      <c r="BJ16" s="90" t="s">
        <v>1708</v>
      </c>
      <c r="BK16" s="90" t="s">
        <v>1709</v>
      </c>
      <c r="BL16" s="90" t="s">
        <v>1710</v>
      </c>
      <c r="BM16" s="90" t="s">
        <v>1711</v>
      </c>
      <c r="BN16" s="90" t="s">
        <v>1712</v>
      </c>
      <c r="BO16" s="90" t="s">
        <v>1713</v>
      </c>
      <c r="BP16" s="90" t="s">
        <v>1714</v>
      </c>
      <c r="BQ16" s="90" t="s">
        <v>1714</v>
      </c>
      <c r="BR16" s="90"/>
      <c r="BS16" s="90"/>
      <c r="BT16" s="90"/>
      <c r="BU16" s="90"/>
      <c r="BV16" s="90"/>
      <c r="BW16" s="90"/>
      <c r="BX16" s="90"/>
      <c r="BY16" s="90"/>
      <c r="BZ16" s="90"/>
      <c r="CA16" s="90"/>
      <c r="CB16" s="90"/>
      <c r="CC16" s="90"/>
      <c r="CD16" s="90"/>
      <c r="CE16" s="90"/>
      <c r="CF16" s="90"/>
      <c r="CG16" s="90"/>
      <c r="CH16" s="90"/>
      <c r="CI16" s="90"/>
      <c r="CJ16" s="90"/>
      <c r="CK16" s="90"/>
      <c r="CL16" s="90"/>
      <c r="CM16" s="90"/>
      <c r="CN16" s="99"/>
      <c r="CO16" s="91"/>
      <c r="CP16" s="91"/>
      <c r="CQ16" s="91"/>
      <c r="CR16" s="91"/>
      <c r="CS16" s="91"/>
      <c r="CT16" s="91"/>
      <c r="CU16" s="91"/>
      <c r="CV16" s="91"/>
      <c r="CW16" s="91"/>
      <c r="CX16" s="91"/>
      <c r="CY16" s="91"/>
      <c r="CZ16" s="91"/>
      <c r="DQ16" s="291" t="s">
        <v>1930</v>
      </c>
      <c r="DR16" s="300"/>
      <c r="DS16" s="300"/>
      <c r="DT16" s="300"/>
      <c r="DU16" s="300"/>
      <c r="DV16" s="300"/>
      <c r="DW16" s="300"/>
      <c r="DX16" s="300"/>
      <c r="DY16" s="300"/>
      <c r="DZ16" s="300"/>
      <c r="EA16" s="300"/>
      <c r="EB16" s="300"/>
      <c r="EC16" s="300"/>
      <c r="ED16" s="300"/>
      <c r="EE16" s="292"/>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t="str" cm="1">
        <f t="array" ref="FQ16">IF($T$5="",_xlfn.LET(_xlpm.t,_xlfn.XLOOKUP(1,ISTEXT(FQ19:FQ58)*(FQ19:FQ58&lt;&gt;""),FQ19:FQ58,""),IFERROR(LEFT(_xlpm.t,FIND("*",_xlpm.t)),_xlpm.t)),"")</f>
        <v/>
      </c>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291" t="s">
        <v>1917</v>
      </c>
      <c r="GX16" s="300"/>
      <c r="GY16" s="300"/>
      <c r="GZ16" s="300"/>
      <c r="HA16" s="300"/>
      <c r="HB16" s="292"/>
      <c r="HC16" s="88"/>
      <c r="HD16" s="154" t="s">
        <v>2008</v>
      </c>
      <c r="HE16" s="88"/>
      <c r="HF16" s="91"/>
      <c r="HG16" s="91"/>
      <c r="HH16" s="91"/>
      <c r="HI16" s="91"/>
    </row>
    <row r="17" spans="1:222" ht="25.5" customHeight="1" thickBot="1" x14ac:dyDescent="0.4">
      <c r="A17" s="320" t="s">
        <v>35</v>
      </c>
      <c r="B17" s="321"/>
      <c r="C17" s="324" t="s">
        <v>36</v>
      </c>
      <c r="D17" s="324"/>
      <c r="E17" s="25" t="s">
        <v>564</v>
      </c>
      <c r="F17" s="25" t="s">
        <v>39</v>
      </c>
      <c r="G17" s="26" t="s">
        <v>47</v>
      </c>
      <c r="H17" s="298"/>
      <c r="I17" s="299"/>
      <c r="J17" s="279" t="s">
        <v>51</v>
      </c>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6"/>
      <c r="AN17" s="295"/>
      <c r="AO17" s="264" t="s">
        <v>49</v>
      </c>
      <c r="AP17" s="61"/>
      <c r="AQ17" s="61"/>
      <c r="AR17" s="90"/>
      <c r="AS17" s="90"/>
      <c r="AT17" s="90"/>
      <c r="AU17" s="90"/>
      <c r="AV17" s="90"/>
      <c r="AW17" s="239" t="s">
        <v>2432</v>
      </c>
      <c r="AX17" s="240">
        <f>IFERROR(IF(LEFT($F$7,2)="Ju",AX13,IF(LEFT($F$7,2)="Yo",AX14,IF(LEFT($F$7,2)="12",AX15,0))),"")</f>
        <v>0</v>
      </c>
      <c r="AY17" s="90"/>
      <c r="AZ17" s="90"/>
      <c r="BA17" s="241">
        <f>COUNTIF(BA19:BA58,"=X")</f>
        <v>0</v>
      </c>
      <c r="BB17" s="90"/>
      <c r="BC17" s="90"/>
      <c r="BD17" s="90"/>
      <c r="BE17" s="90"/>
      <c r="BF17" s="90"/>
      <c r="BG17" s="187" t="s">
        <v>1923</v>
      </c>
      <c r="BH17" s="90"/>
      <c r="BI17" s="314" t="s">
        <v>1706</v>
      </c>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90"/>
      <c r="CN17" s="99"/>
      <c r="CO17" s="91"/>
      <c r="CP17" s="94">
        <f>MAX(CP19:CP68)</f>
        <v>0</v>
      </c>
      <c r="CQ17" s="91" t="str">
        <f>IF(CP17&gt;D12,"Y","N")</f>
        <v>N</v>
      </c>
      <c r="CT17" s="159" t="s">
        <v>1716</v>
      </c>
      <c r="CU17" s="291" t="s">
        <v>1727</v>
      </c>
      <c r="CV17" s="300"/>
      <c r="CW17" s="300"/>
      <c r="CX17" s="300"/>
      <c r="CY17" s="300"/>
      <c r="CZ17" s="300"/>
      <c r="DA17" s="300"/>
      <c r="DB17" s="300"/>
      <c r="DC17" s="292"/>
      <c r="DD17" s="291" t="s">
        <v>1762</v>
      </c>
      <c r="DE17" s="300"/>
      <c r="DF17" s="300"/>
      <c r="DG17" s="300"/>
      <c r="DH17" s="300"/>
      <c r="DI17" s="300"/>
      <c r="DJ17" s="300"/>
      <c r="DK17" s="301" t="s">
        <v>1869</v>
      </c>
      <c r="DL17" s="302"/>
      <c r="DM17" s="303"/>
      <c r="DN17" s="161" t="s">
        <v>1771</v>
      </c>
      <c r="DQ17" s="287" t="s">
        <v>1931</v>
      </c>
      <c r="DR17" s="287"/>
      <c r="DS17" s="287" t="s">
        <v>1932</v>
      </c>
      <c r="DT17" s="287"/>
      <c r="DU17" s="199" t="s">
        <v>1933</v>
      </c>
      <c r="DV17" s="288" t="s">
        <v>1934</v>
      </c>
      <c r="DW17" s="289"/>
      <c r="DX17" s="289"/>
      <c r="DY17" s="290"/>
      <c r="DZ17" s="288" t="s">
        <v>2406</v>
      </c>
      <c r="EA17" s="290"/>
      <c r="EB17" s="291" t="s">
        <v>1934</v>
      </c>
      <c r="EC17" s="300"/>
      <c r="ED17" s="300"/>
      <c r="EE17" s="292"/>
      <c r="EF17" s="307" t="s">
        <v>1955</v>
      </c>
      <c r="EG17" s="307"/>
      <c r="EH17" s="164"/>
      <c r="EI17" s="164" t="s">
        <v>1851</v>
      </c>
      <c r="EK17" s="88" t="s">
        <v>1764</v>
      </c>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164" t="s">
        <v>1850</v>
      </c>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154">
        <f>SUM(GW19:GW68)</f>
        <v>0</v>
      </c>
      <c r="GX17" s="154">
        <f t="shared" ref="GX17:HA17" si="5">SUM(GX19:GX68)</f>
        <v>0</v>
      </c>
      <c r="GY17" s="154">
        <f>SUM(GY19:GY68)</f>
        <v>0</v>
      </c>
      <c r="GZ17" s="154">
        <f t="shared" si="5"/>
        <v>0</v>
      </c>
      <c r="HA17" s="154">
        <f t="shared" si="5"/>
        <v>0</v>
      </c>
      <c r="HB17" s="154">
        <f>IF(BV4="Yes","",SUM(HB19:HB68))</f>
        <v>0</v>
      </c>
      <c r="HC17" s="88"/>
      <c r="HD17" s="88"/>
      <c r="HE17" s="88"/>
      <c r="HF17" s="91"/>
      <c r="HG17" s="94">
        <v>2.3148148148148146E-4</v>
      </c>
      <c r="HH17" s="94"/>
      <c r="HI17" s="159" t="s">
        <v>1273</v>
      </c>
    </row>
    <row r="18" spans="1:222" ht="12.75" customHeight="1" x14ac:dyDescent="0.35">
      <c r="A18" s="267" t="s">
        <v>37</v>
      </c>
      <c r="B18" s="268" t="s">
        <v>38</v>
      </c>
      <c r="C18" s="268" t="s">
        <v>37</v>
      </c>
      <c r="D18" s="268" t="s">
        <v>38</v>
      </c>
      <c r="E18" s="269"/>
      <c r="F18" s="269"/>
      <c r="G18" s="270"/>
      <c r="H18" s="271"/>
      <c r="I18" s="272"/>
      <c r="J18" s="273" t="s">
        <v>1717</v>
      </c>
      <c r="K18" s="273" t="s">
        <v>1761</v>
      </c>
      <c r="L18" s="273" t="s">
        <v>1920</v>
      </c>
      <c r="M18" s="273" t="s">
        <v>1720</v>
      </c>
      <c r="N18" s="273" t="s">
        <v>1721</v>
      </c>
      <c r="O18" s="273" t="s">
        <v>1722</v>
      </c>
      <c r="P18" s="273" t="s">
        <v>1723</v>
      </c>
      <c r="Q18" s="273" t="s">
        <v>1921</v>
      </c>
      <c r="R18" s="273" t="s">
        <v>1922</v>
      </c>
      <c r="S18" s="273"/>
      <c r="T18" s="273"/>
      <c r="U18" s="273"/>
      <c r="V18" s="273"/>
      <c r="W18" s="273"/>
      <c r="X18" s="273"/>
      <c r="Y18" s="273"/>
      <c r="Z18" s="273"/>
      <c r="AA18" s="273"/>
      <c r="AB18" s="273"/>
      <c r="AC18" s="273"/>
      <c r="AD18" s="273"/>
      <c r="AE18" s="273"/>
      <c r="AF18" s="273"/>
      <c r="AG18" s="273"/>
      <c r="AH18" s="273"/>
      <c r="AI18" s="273"/>
      <c r="AJ18" s="273"/>
      <c r="AK18" s="273"/>
      <c r="AL18" s="273"/>
      <c r="AM18" s="273"/>
      <c r="AN18" s="274"/>
      <c r="AO18" s="275"/>
      <c r="AP18" s="61"/>
      <c r="AQ18" s="61"/>
      <c r="AR18" s="90"/>
      <c r="AS18" s="90"/>
      <c r="AT18" s="90"/>
      <c r="AU18" s="90"/>
      <c r="AV18" s="90"/>
      <c r="AW18" s="159" t="s">
        <v>2433</v>
      </c>
      <c r="AX18" s="159" t="s">
        <v>2434</v>
      </c>
      <c r="AY18" s="238" t="s">
        <v>2435</v>
      </c>
      <c r="AZ18" s="238" t="s">
        <v>45</v>
      </c>
      <c r="BA18" s="238" t="s">
        <v>2436</v>
      </c>
      <c r="BB18" s="90"/>
      <c r="BC18" s="90"/>
      <c r="BD18" s="90"/>
      <c r="BE18" s="90"/>
      <c r="BF18" s="90"/>
      <c r="BG18" s="90"/>
      <c r="BH18" s="90"/>
      <c r="BI18" s="155">
        <v>1</v>
      </c>
      <c r="BJ18" s="155">
        <v>2</v>
      </c>
      <c r="BK18" s="155">
        <v>3</v>
      </c>
      <c r="BL18" s="155">
        <v>4</v>
      </c>
      <c r="BM18" s="155">
        <v>5</v>
      </c>
      <c r="BN18" s="155">
        <v>6</v>
      </c>
      <c r="BO18" s="155">
        <v>7</v>
      </c>
      <c r="BP18" s="155">
        <v>8</v>
      </c>
      <c r="BQ18" s="155">
        <v>9</v>
      </c>
      <c r="BR18" s="155">
        <v>10</v>
      </c>
      <c r="BS18" s="155">
        <v>11</v>
      </c>
      <c r="BT18" s="155">
        <v>12</v>
      </c>
      <c r="BU18" s="155">
        <v>13</v>
      </c>
      <c r="BV18" s="155">
        <v>14</v>
      </c>
      <c r="BW18" s="155">
        <v>15</v>
      </c>
      <c r="BX18" s="155">
        <v>16</v>
      </c>
      <c r="BY18" s="155">
        <v>17</v>
      </c>
      <c r="BZ18" s="155">
        <v>18</v>
      </c>
      <c r="CA18" s="155">
        <v>19</v>
      </c>
      <c r="CB18" s="155">
        <v>20</v>
      </c>
      <c r="CC18" s="155">
        <v>21</v>
      </c>
      <c r="CD18" s="155">
        <v>22</v>
      </c>
      <c r="CE18" s="155">
        <v>23</v>
      </c>
      <c r="CF18" s="155">
        <v>24</v>
      </c>
      <c r="CG18" s="155">
        <v>25</v>
      </c>
      <c r="CH18" s="155">
        <v>26</v>
      </c>
      <c r="CI18" s="155">
        <v>27</v>
      </c>
      <c r="CJ18" s="155">
        <v>28</v>
      </c>
      <c r="CK18" s="155">
        <v>29</v>
      </c>
      <c r="CL18" s="155">
        <v>30</v>
      </c>
      <c r="CM18" s="90"/>
      <c r="CN18" s="90"/>
      <c r="CO18" s="91"/>
      <c r="CP18" s="94">
        <v>0</v>
      </c>
      <c r="CQ18" s="94"/>
      <c r="CR18" s="88" t="e">
        <f>CQ18/CP17</f>
        <v>#DIV/0!</v>
      </c>
      <c r="CT18" s="88" t="s">
        <v>1726</v>
      </c>
      <c r="CU18" s="88" t="s">
        <v>1717</v>
      </c>
      <c r="CV18" s="88" t="s">
        <v>1718</v>
      </c>
      <c r="CW18" s="88" t="s">
        <v>1719</v>
      </c>
      <c r="CX18" s="88" t="s">
        <v>1720</v>
      </c>
      <c r="CY18" s="88" t="s">
        <v>1721</v>
      </c>
      <c r="CZ18" s="88" t="s">
        <v>1722</v>
      </c>
      <c r="DA18" s="88" t="s">
        <v>1723</v>
      </c>
      <c r="DB18" s="88" t="s">
        <v>1724</v>
      </c>
      <c r="DC18" s="88" t="s">
        <v>1725</v>
      </c>
      <c r="DD18" s="88" t="s">
        <v>1717</v>
      </c>
      <c r="DE18" s="88" t="s">
        <v>1718</v>
      </c>
      <c r="DF18" s="88" t="s">
        <v>1719</v>
      </c>
      <c r="DG18" s="88" t="s">
        <v>1720</v>
      </c>
      <c r="DH18" s="88" t="s">
        <v>1721</v>
      </c>
      <c r="DI18" s="88" t="s">
        <v>1722</v>
      </c>
      <c r="DJ18" s="88" t="s">
        <v>1723</v>
      </c>
      <c r="DK18" s="88" t="s">
        <v>1724</v>
      </c>
      <c r="DL18" s="88" t="s">
        <v>1725</v>
      </c>
      <c r="DQ18" s="154" t="s">
        <v>1720</v>
      </c>
      <c r="DR18" s="154" t="s">
        <v>1721</v>
      </c>
      <c r="DS18" s="154" t="s">
        <v>1717</v>
      </c>
      <c r="DT18" s="154" t="s">
        <v>1718</v>
      </c>
      <c r="DU18" s="154" t="s">
        <v>1717</v>
      </c>
      <c r="DV18" s="154" t="s">
        <v>1717</v>
      </c>
      <c r="DW18" s="154" t="s">
        <v>1718</v>
      </c>
      <c r="DX18" s="154" t="s">
        <v>1720</v>
      </c>
      <c r="DY18" s="154" t="s">
        <v>1721</v>
      </c>
      <c r="DZ18" s="154" t="s">
        <v>1936</v>
      </c>
      <c r="EA18" s="154" t="s">
        <v>1935</v>
      </c>
      <c r="EB18" s="199" t="s">
        <v>1921</v>
      </c>
      <c r="EC18" s="199" t="s">
        <v>1922</v>
      </c>
      <c r="ED18" s="154" t="s">
        <v>2429</v>
      </c>
      <c r="EE18" s="154" t="s">
        <v>2430</v>
      </c>
      <c r="EF18" s="199" t="s">
        <v>1956</v>
      </c>
      <c r="EG18" s="154" t="s">
        <v>1957</v>
      </c>
      <c r="EI18" s="88" t="s">
        <v>1929</v>
      </c>
      <c r="EK18" s="88">
        <v>1</v>
      </c>
      <c r="EL18" s="88">
        <v>2</v>
      </c>
      <c r="EM18" s="88">
        <v>3</v>
      </c>
      <c r="EN18" s="88">
        <v>4</v>
      </c>
      <c r="EO18" s="88">
        <v>5</v>
      </c>
      <c r="EP18" s="88">
        <v>6</v>
      </c>
      <c r="EQ18" s="88">
        <v>7</v>
      </c>
      <c r="ER18" s="88">
        <v>8</v>
      </c>
      <c r="ES18" s="88">
        <v>9</v>
      </c>
      <c r="ET18" s="88">
        <v>10</v>
      </c>
      <c r="EU18" s="88">
        <v>11</v>
      </c>
      <c r="EV18" s="88">
        <v>12</v>
      </c>
      <c r="EW18" s="88">
        <v>13</v>
      </c>
      <c r="EX18" s="88">
        <v>14</v>
      </c>
      <c r="EY18" s="88">
        <v>15</v>
      </c>
      <c r="EZ18" s="88">
        <v>16</v>
      </c>
      <c r="FA18" s="88">
        <v>17</v>
      </c>
      <c r="FB18" s="88">
        <v>18</v>
      </c>
      <c r="FC18" s="88">
        <v>19</v>
      </c>
      <c r="FD18" s="88">
        <v>20</v>
      </c>
      <c r="FE18" s="88">
        <v>21</v>
      </c>
      <c r="FF18" s="88">
        <v>22</v>
      </c>
      <c r="FG18" s="88">
        <v>23</v>
      </c>
      <c r="FH18" s="88">
        <v>24</v>
      </c>
      <c r="FI18" s="88">
        <v>25</v>
      </c>
      <c r="FJ18" s="88">
        <v>26</v>
      </c>
      <c r="FK18" s="88">
        <v>27</v>
      </c>
      <c r="FL18" s="88">
        <v>28</v>
      </c>
      <c r="FM18" s="88">
        <v>29</v>
      </c>
      <c r="FN18" s="88">
        <v>30</v>
      </c>
      <c r="FO18" s="88"/>
      <c r="FP18" s="88">
        <f>IF(T5="",2,3)</f>
        <v>2</v>
      </c>
      <c r="FQ18" s="88" t="s">
        <v>1849</v>
      </c>
      <c r="FR18" s="88">
        <v>1</v>
      </c>
      <c r="FS18" s="88">
        <v>2</v>
      </c>
      <c r="FT18" s="88">
        <v>3</v>
      </c>
      <c r="FU18" s="88">
        <v>4</v>
      </c>
      <c r="FV18" s="88">
        <v>5</v>
      </c>
      <c r="FW18" s="88">
        <v>6</v>
      </c>
      <c r="FX18" s="88">
        <v>7</v>
      </c>
      <c r="FY18" s="88">
        <v>8</v>
      </c>
      <c r="FZ18" s="88">
        <v>9</v>
      </c>
      <c r="GA18" s="88">
        <v>10</v>
      </c>
      <c r="GB18" s="88">
        <v>11</v>
      </c>
      <c r="GC18" s="88">
        <v>12</v>
      </c>
      <c r="GD18" s="88">
        <v>13</v>
      </c>
      <c r="GE18" s="88">
        <v>14</v>
      </c>
      <c r="GF18" s="88">
        <v>15</v>
      </c>
      <c r="GG18" s="88">
        <v>16</v>
      </c>
      <c r="GH18" s="88">
        <v>17</v>
      </c>
      <c r="GI18" s="88">
        <v>18</v>
      </c>
      <c r="GJ18" s="88">
        <v>19</v>
      </c>
      <c r="GK18" s="88">
        <v>20</v>
      </c>
      <c r="GL18" s="88">
        <v>21</v>
      </c>
      <c r="GM18" s="88">
        <v>22</v>
      </c>
      <c r="GN18" s="88">
        <v>23</v>
      </c>
      <c r="GO18" s="88">
        <v>24</v>
      </c>
      <c r="GP18" s="88">
        <v>25</v>
      </c>
      <c r="GQ18" s="88">
        <v>26</v>
      </c>
      <c r="GR18" s="88">
        <v>27</v>
      </c>
      <c r="GS18" s="88">
        <v>28</v>
      </c>
      <c r="GT18" s="88">
        <v>29</v>
      </c>
      <c r="GU18" s="88">
        <v>30</v>
      </c>
      <c r="GV18" s="88"/>
      <c r="GW18" s="154" t="s">
        <v>1765</v>
      </c>
      <c r="GX18" s="154" t="s">
        <v>1766</v>
      </c>
      <c r="GY18" s="154" t="s">
        <v>1767</v>
      </c>
      <c r="GZ18" s="154" t="s">
        <v>624</v>
      </c>
      <c r="HA18" s="154" t="s">
        <v>1631</v>
      </c>
      <c r="HB18" s="154" t="s">
        <v>625</v>
      </c>
      <c r="HC18" s="88"/>
      <c r="HD18" s="88"/>
      <c r="HE18" s="88"/>
      <c r="HF18" s="91"/>
      <c r="HG18" s="91"/>
      <c r="HH18" s="91"/>
      <c r="HI18" s="91"/>
    </row>
    <row r="19" spans="1:222" ht="12.75" customHeight="1" x14ac:dyDescent="0.35">
      <c r="A19" s="28" t="str">
        <f>IF(C14="","",0)</f>
        <v/>
      </c>
      <c r="B19" s="29" t="str">
        <f>IF(D14="","",0)</f>
        <v/>
      </c>
      <c r="C19" s="39"/>
      <c r="D19" s="39"/>
      <c r="E19" s="9"/>
      <c r="F19" s="40"/>
      <c r="G19" s="31" t="str">
        <f>IF(F19&lt;&gt;"",IF(OR(F19="Transition",F19="Transition - Surface Connection"),0,1),"")</f>
        <v/>
      </c>
      <c r="H19" s="43" t="str">
        <f>IFERROR(IF(E20="3","",IF(OR(F19="Hybrid - Choreography (DD = 1)",LEFT(F19,5)="Trans"),"No DD",CONCATENATE("BM = ",I20))),"")</f>
        <v/>
      </c>
      <c r="I19" s="44"/>
      <c r="J19" s="109"/>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58"/>
      <c r="AO19" s="32"/>
      <c r="AP19" s="61"/>
      <c r="AQ19" s="61"/>
      <c r="AR19" s="90"/>
      <c r="AS19" s="90"/>
      <c r="AT19" s="90"/>
      <c r="AU19" s="90"/>
      <c r="AV19" s="90"/>
      <c r="AW19" s="91" t="str">
        <f>E20</f>
        <v/>
      </c>
      <c r="AX19" s="94" t="str">
        <f>IF(AY19=0,"",TIME(0,A19,B19))</f>
        <v/>
      </c>
      <c r="AY19" s="94">
        <f>TIME(0,C19,D19)</f>
        <v>0</v>
      </c>
      <c r="AZ19" s="94" t="str">
        <f>IFERROR(AY19-AX19,"")</f>
        <v/>
      </c>
      <c r="BA19" s="237" t="str">
        <f>IF($AX$17=0,"",IF(AND($C$10&lt;&gt;"",AW19="H",AZ19&gt;$AX$17),"X",""))</f>
        <v/>
      </c>
      <c r="BB19" s="90"/>
      <c r="BC19" s="90"/>
      <c r="BD19" s="90"/>
      <c r="BE19" s="90"/>
      <c r="BF19" s="90"/>
      <c r="BG19" s="90" t="str">
        <f>IFERROR(IF(F19&lt;&gt;"",INDEX(Parts_Active,MATCH(F19,Parts_Active,0)),""),"No")</f>
        <v/>
      </c>
      <c r="BH19" s="90"/>
      <c r="BI19" s="90" t="str">
        <f>IF($E20="H",IF($F19="Hybrid - Thrust + 2 connections","Hybrid_Mix_Req",IF($F19="Hybrid - Choreography (DD = 1)","Hybrid_ChoHY","HybridDD_Code")),IF($E20=3,"TreDD_Code",IF($E20="PA","AcroPair_Code",IF(LEFT($F19,4)="Acro",CONCATENATE(BI$16,$E20,"_Code"),"Data!$BI$1:$BI$5"))))</f>
        <v>Data!$BI$1:$BI$5</v>
      </c>
      <c r="BJ19" s="90" t="str">
        <f>IF($E20="H",IF($F19="Hybrid - Thrust + 2 connections","Hybrid_Mix_Req",IF($F19="Hybrid - min 4 swimmers (no DD)","Data!$BI$1:$BI$5","HybridDD_Code")),IF($E20=3,"TreDD_Code",IF($E20="PA","AcroPair_Code",IF(LEFT($F19,4)="Acro",CONCATENATE(BJ$16,$E20,"_Code"),"Data!$BI$1:$BI$5"))))</f>
        <v>Data!$BI$1:$BI$5</v>
      </c>
      <c r="BK19" s="90" t="str">
        <f t="shared" ref="BK19:BQ33" si="6">IF($E20="H",IF($F19="Hybrid - Thrust + 2 connections","Hybrid_Mix_Req",IF($F19="Hybrid - min 4 swimmers (no DD)","Data!$BI$1:$BI$5","HybridDD_Code")),IF($E20=3,"TreDD_Code",IF($E20="PA","AcroPair_Code",IF(LEFT($F19,4)="Acro",CONCATENATE(BK$16,$E20,"_Code"),"Data!$BI$1:$BI$5"))))</f>
        <v>Data!$BI$1:$BI$5</v>
      </c>
      <c r="BL19" s="90" t="str">
        <f t="shared" si="6"/>
        <v>Data!$BI$1:$BI$5</v>
      </c>
      <c r="BM19" s="90" t="str">
        <f t="shared" si="6"/>
        <v>Data!$BI$1:$BI$5</v>
      </c>
      <c r="BN19" s="90" t="str">
        <f t="shared" si="6"/>
        <v>Data!$BI$1:$BI$5</v>
      </c>
      <c r="BO19" s="90" t="str">
        <f t="shared" si="6"/>
        <v>Data!$BI$1:$BI$5</v>
      </c>
      <c r="BP19" s="90" t="str">
        <f t="shared" si="6"/>
        <v>Data!$BI$1:$BI$5</v>
      </c>
      <c r="BQ19" s="90" t="str">
        <f t="shared" si="6"/>
        <v>Data!$BI$1:$BI$5</v>
      </c>
      <c r="BR19" s="90" t="str">
        <f>IF($E20="H",IF($F19="Hybrid - Thrust + 2 connections","Data!$BI$1:$BI$5","HybridDD_Code"),"Data!$BI$1:$BI$5")</f>
        <v>Data!$BI$1:$BI$5</v>
      </c>
      <c r="BS19" s="90" t="str">
        <f t="shared" ref="BS19:CH27" si="7">$BR19</f>
        <v>Data!$BI$1:$BI$5</v>
      </c>
      <c r="BT19" s="90" t="str">
        <f t="shared" si="7"/>
        <v>Data!$BI$1:$BI$5</v>
      </c>
      <c r="BU19" s="90" t="str">
        <f t="shared" si="7"/>
        <v>Data!$BI$1:$BI$5</v>
      </c>
      <c r="BV19" s="90" t="str">
        <f t="shared" si="7"/>
        <v>Data!$BI$1:$BI$5</v>
      </c>
      <c r="BW19" s="90" t="str">
        <f t="shared" si="7"/>
        <v>Data!$BI$1:$BI$5</v>
      </c>
      <c r="BX19" s="90" t="str">
        <f t="shared" si="7"/>
        <v>Data!$BI$1:$BI$5</v>
      </c>
      <c r="BY19" s="90" t="str">
        <f t="shared" si="7"/>
        <v>Data!$BI$1:$BI$5</v>
      </c>
      <c r="BZ19" s="90" t="str">
        <f t="shared" si="7"/>
        <v>Data!$BI$1:$BI$5</v>
      </c>
      <c r="CA19" s="90" t="str">
        <f t="shared" si="7"/>
        <v>Data!$BI$1:$BI$5</v>
      </c>
      <c r="CB19" s="90" t="str">
        <f t="shared" si="7"/>
        <v>Data!$BI$1:$BI$5</v>
      </c>
      <c r="CC19" s="90" t="str">
        <f t="shared" si="7"/>
        <v>Data!$BI$1:$BI$5</v>
      </c>
      <c r="CD19" s="90" t="str">
        <f t="shared" si="7"/>
        <v>Data!$BI$1:$BI$5</v>
      </c>
      <c r="CE19" s="90" t="str">
        <f t="shared" si="7"/>
        <v>Data!$BI$1:$BI$5</v>
      </c>
      <c r="CF19" s="90" t="str">
        <f t="shared" si="7"/>
        <v>Data!$BI$1:$BI$5</v>
      </c>
      <c r="CG19" s="90" t="str">
        <f t="shared" si="7"/>
        <v>Data!$BI$1:$BI$5</v>
      </c>
      <c r="CH19" s="90" t="str">
        <f t="shared" si="7"/>
        <v>Data!$BI$1:$BI$5</v>
      </c>
      <c r="CI19" s="90" t="str">
        <f t="shared" ref="CI19:CL33" si="8">$BR19</f>
        <v>Data!$BI$1:$BI$5</v>
      </c>
      <c r="CJ19" s="90" t="str">
        <f t="shared" si="8"/>
        <v>Data!$BI$1:$BI$5</v>
      </c>
      <c r="CK19" s="90" t="str">
        <f t="shared" si="8"/>
        <v>Data!$BI$1:$BI$5</v>
      </c>
      <c r="CL19" s="90" t="str">
        <f t="shared" si="8"/>
        <v>Data!$BI$1:$BI$5</v>
      </c>
      <c r="CM19" s="90"/>
      <c r="CN19" s="90"/>
      <c r="CO19" s="93" t="e">
        <f>TIME(0,A19,B19)</f>
        <v>#VALUE!</v>
      </c>
      <c r="CP19" s="94">
        <f>TIME(0,C19,D19)</f>
        <v>0</v>
      </c>
      <c r="CQ19" s="94" t="str">
        <f>IF(CP19&gt;$D$12,"X","")</f>
        <v/>
      </c>
      <c r="CR19" s="88" t="str">
        <f>IF(AND(F19="Hybrid - Thrust + 2 connections",OR(LEFT(J19,1)="T",LEFT(K19,1)="T",LEFT(L19,1)="T",LEFT(PB19,1)="T",LEFT(M19,1)="T",LEFT(N19,1)="T",LEFT(O19,1)="T",LEFT(P19,1)="T",LEFT(Q19,1)="T",LEFT(R19,1)="T",LEFT(S19,1)="T",LEFT(T19,1)="T",LEFT(U19,1)="T",LEFT(V19,1)="T",LEFT(W19,1)="T",LEFT(X19,1)="T",LEFT(AK19,1)="T",LEFT(AL19,1)="T",LEFT(AM19,1)="T")),IF(OR(LEN(J19)=2,LEN(K19)=2,LEN(L19)=2,LEN(M19)=2,LEN(N19)=2,LEN(O19)=2,LEN(P19)=2,LEN(Q19)=2,LEN(R19)=2,LEN(S19)=2,LEN(T19)=2,LEN(U19)=2,LEN(V19)=2,LEN(W19)=2,LEN(X19)=2,LEN(Y19)=2,LEN(Z19)=2,LEN(AK19)=2,LEN(AL19)=2,LEN(AM19)=2),"X",""),"")</f>
        <v/>
      </c>
      <c r="CT19" s="88" t="str">
        <f>IF(LEFT(F19,4)="Acro",IF(AND(N19&lt;&gt;"",M19=RIGHT(N19,2)),"X","OK"),"")</f>
        <v/>
      </c>
      <c r="CU19" s="90" t="str">
        <f t="shared" ref="CU19:DB19" si="9">IFERROR(IF(AND(LEFT($F19,4)="Acro",INDEX(Requ_App,MATCH(BI19,Requ_Code,0))="No"),"X",""),"")</f>
        <v/>
      </c>
      <c r="CV19" s="90" t="str">
        <f t="shared" si="9"/>
        <v/>
      </c>
      <c r="CW19" s="90" t="str">
        <f t="shared" si="9"/>
        <v/>
      </c>
      <c r="CX19" s="90" t="str">
        <f t="shared" si="9"/>
        <v/>
      </c>
      <c r="CY19" s="90" t="str">
        <f t="shared" si="9"/>
        <v/>
      </c>
      <c r="CZ19" s="90" t="str">
        <f t="shared" si="9"/>
        <v/>
      </c>
      <c r="DA19" s="90" t="str">
        <f t="shared" si="9"/>
        <v/>
      </c>
      <c r="DB19" s="90" t="str">
        <f t="shared" si="9"/>
        <v/>
      </c>
      <c r="DC19" s="90" t="str">
        <f>IFERROR(IF(AND(LEFT($F19,4)="Acro",INDEX(Requ_App,MATCH(BP19,Requ_Code,0))="No"),"X",""),"")</f>
        <v/>
      </c>
      <c r="DD19" s="88" t="str">
        <f t="shared" ref="DD19:DD50" si="10">IF(OR($E20="A",$E20="B",$E20="C",$E20="P"),"Z","")</f>
        <v/>
      </c>
      <c r="DE19" s="88" t="str">
        <f t="shared" ref="DE19:DE50" si="11">IF(OR($E20="B",$E20="P"),"Z","")</f>
        <v/>
      </c>
      <c r="DF19" s="88" t="str">
        <f t="shared" ref="DF19:DF50" si="12">IF(OR($E20="A",$E20="C"),"Z","")</f>
        <v/>
      </c>
      <c r="DG19" s="88" t="str">
        <f t="shared" ref="DG19:DG50" si="13">IF(OR($E20="A",$E20="B",$E20="C",$E20="P"),"Z","")</f>
        <v/>
      </c>
      <c r="DK19" s="88">
        <f>IF(AND(E20="A",OR(Q19="Grip",Q19="Conn",Q19="Catch")),"A1",IF(AND(E20="A",OR(Q19="Hula",Q19="RetSq",Q19="RetPa")),"A2",IF(AND(E20="B",OR(Q19="Twirl",Q19="RotF")),"B1",IF(AND(E20="B",OR(Q19="Moon",Q19="Mov",Q19="Hold")),"B2",IF(AND(E20="P",OR(Q19="Porp",Q19="Splch")),"P1",IF(AND(E20="P",OR(Q19="Diva",Q19="Stand")),"P2",IF(AND(E20="P",OR(Q19="Spider",Q19="Climb")),"P3",IF(AND(E20="P",OR(Q19="Fall",Q19="FTurn")),"P4",IF(AND(E20="C",OR(Q19="Ju",Q19="1P&gt;H",Q19="H&gt;1P",Q19="Jump",Q19="Jump&gt;",Q19="On1Foot",Q19="1F&gt;1F",Q19="1F&gt;1F+",Q19="2F&gt;2F")),"C1",IF(AND(E20="C",OR(Q19="Run",Q19="BRun")),"C2",1))))))))))</f>
        <v>1</v>
      </c>
      <c r="DL19" s="88">
        <f>IF(AND(E20="A",OR(R19="Grip",R19="Conn",R19="Catch")),"A1",IF(AND(E20="A",OR(R19="Hula",R19="RetSq",R19="RetPa")),"A2",IF(AND(E20="B",OR(R19="Twirl",R19="RotF")),"B1",IF(AND(E20="B",OR(R19="Moon",R19="Mov",R19="Hold")),"B2",IF(AND(E20="P",OR(R19="Porp",R19="Spich")),"P1",IF(AND(E20="P",OR(R19="Diva",R19="Stand")),"P2",IF(AND(E20="P",OR(R19="Spider",R19="Climb")),"P3",IF(AND(E20="P",OR(R19="Fall",R19="FTurn")),"P4",IF(AND(E20="C",OR(R19="Ju",R19="1P&gt;H",R19="H&gt;1P",R19="Jump",R19="Jump&gt;",R19="On1Foot",R19="1F&gt;1F",R19="1F&gt;1F+",R19="2F&gt;2F")),"C1",IF(AND(E20="C",OR(R19="Run",R19="BRun")),"C2",2))))))))))</f>
        <v>2</v>
      </c>
      <c r="DM19" s="88" t="str">
        <f>IF(AND(N19="",OR(Q19&lt;&gt;"",R19&lt;&gt;"")),"X",IF(AND(LEFT(F19,4)="Acro",Q19&lt;&gt;"",OR(Q19=R19,DK19=DL19)),IF(R19="C-Roll","","X"),IF(OR(AND(E20="A",Q19="Catch",R19&lt;&gt;"Dbl"),AND(E20="A",R19="Catch",Q19&lt;&gt;"Dbl")),"X","")))</f>
        <v/>
      </c>
      <c r="DN19" s="88" t="str">
        <f>IF(E20="PA",J19,"")</f>
        <v/>
      </c>
      <c r="DO19" s="88">
        <v>1</v>
      </c>
      <c r="DQ19" s="88" t="str">
        <f>IF(AND($E20="A",COUNTIF($DZ$19:$EA$68,DZ19)&gt;1),DZ19,"")</f>
        <v/>
      </c>
      <c r="DR19" s="88" t="str">
        <f>IF(AND($E20="A",COUNTIF($DZ$19:$EA$68,EA19)&gt;1),EA19,"")</f>
        <v/>
      </c>
      <c r="DS19" s="88" t="str">
        <f ca="1">IF(AND($E20="B",COUNTIF($J$19:$J$68,J19)&gt;1),J19,"")</f>
        <v/>
      </c>
      <c r="DT19" s="88" t="str">
        <f ca="1">IF(AND($E20="B",COUNTIF($K$19:$K$68,K19)&gt;1),K19,"")</f>
        <v/>
      </c>
      <c r="DU19" s="88" t="str">
        <f ca="1">IF(AND($E20="C",COUNTIF($J$19:$J$68,J19)&gt;1),J19,"")</f>
        <v/>
      </c>
      <c r="DV19" s="88" t="str">
        <f ca="1">IF(AND($E20="P",COUNTIF($J$19:$J$68,J19)&gt;1),J19,"")</f>
        <v/>
      </c>
      <c r="DW19" s="88" t="str">
        <f ca="1">IF(AND($E20="P",COUNTIF($K$19:$K$68,K19)&gt;1),K19,"")</f>
        <v/>
      </c>
      <c r="DX19" s="88" t="str">
        <f>IF(AND($E20="P",COUNTIF($DZ$19:$EA$68,DZ19)&gt;1),DZ19,"")</f>
        <v/>
      </c>
      <c r="DY19" s="88" t="str">
        <f>IF(AND($E20="P",COUNTIF($DZ$19:$EA$68,EA19)&gt;1),EA19,"")</f>
        <v/>
      </c>
      <c r="DZ19" s="88" t="str">
        <f>IFERROR(IF(OR(E20="A",E20="P"),M19,""),"")</f>
        <v/>
      </c>
      <c r="EA19" s="88" t="str">
        <f>IFERROR(IF(OR(E20="A",E20="P"),RIGHT(N19,2),""),"")</f>
        <v/>
      </c>
      <c r="EB19" s="88" t="str">
        <f>IF(Q19="","",IF(AND($E20="P",COUNTIF($Q$19:$R$68,Q19)&gt;1),Q19,""))</f>
        <v/>
      </c>
      <c r="EC19" s="88" t="str">
        <f>IF(R19="","",IF(AND($E20="P",COUNTIF($Q$19:$R$68,R19)&gt;1),R19,""))</f>
        <v/>
      </c>
      <c r="ED19" s="88" t="str">
        <f t="shared" ref="ED19:ED58" si="14">IF(AND(EB19&lt;&gt;"",COUNTIF(TeamAcro_P_Bonus,EB19)&gt;1),EB19,"")</f>
        <v/>
      </c>
      <c r="EE19" s="88" t="str">
        <f t="shared" ref="EE19:EE58" si="15">IF(AND(EC19&lt;&gt;"",COUNTIF(TeamAcro_P_Bonus,EC19)&gt;1),EC19,"")</f>
        <v/>
      </c>
      <c r="EF19" s="88" t="str">
        <f>IF(AND(OR($F$8="Open Team Acrobatic",$F$8="Open Team Technical"),LEFT(F19,4)="Acro"),E20,"")</f>
        <v/>
      </c>
      <c r="EG19" s="88" t="str">
        <f>IF(EF19="","",IFERROR(IF($F$8="Open Team Acrobatic",IF(HLOOKUP(EF19,$DQ$12:$DT$13,2,FALSE)&gt;2,"X",""),IF(HLOOKUP(EF19,$DQ$12:$DT$13,2,FALSE)&gt;1,"X","")),""))</f>
        <v/>
      </c>
      <c r="EI19" s="88" t="str">
        <f>IF(OR(AND(F19="Hybrid - Thrust + 2 connections",EI20="T"),AND(E20="H",EI20&lt;&gt;"",EI73="X")),"X","")</f>
        <v/>
      </c>
      <c r="EK19" s="88">
        <f>IFERROR(IF(AND($E20="H",J19&lt;&gt;"",J19&lt;&gt;"ChoHY"),IF(OR(LEFT(J19,1)="T",LEFT(J19,1)="S",LEFT(J19,1)="A",LEFT(J19,1)="F",LEFT(J19,1)="C"),LEFT(J19,1),"R"),EK$18),"")</f>
        <v>1</v>
      </c>
      <c r="EL19" s="88">
        <f t="shared" ref="EL19:FB19" si="16">IFERROR(IF(AND($E20="H",K19&lt;&gt;""),IF(OR(LEFT(K19,1)="T",LEFT(K19,1)="S",LEFT(K19,1)="A",LEFT(K19,1)="F",LEFT(K19,1)="C"),LEFT(K19,1),"R"),EL$18),"")</f>
        <v>2</v>
      </c>
      <c r="EM19" s="88">
        <f t="shared" si="16"/>
        <v>3</v>
      </c>
      <c r="EN19" s="88">
        <f t="shared" si="16"/>
        <v>4</v>
      </c>
      <c r="EO19" s="88">
        <f t="shared" si="16"/>
        <v>5</v>
      </c>
      <c r="EP19" s="88">
        <f t="shared" si="16"/>
        <v>6</v>
      </c>
      <c r="EQ19" s="88">
        <f t="shared" si="16"/>
        <v>7</v>
      </c>
      <c r="ER19" s="88">
        <f t="shared" si="16"/>
        <v>8</v>
      </c>
      <c r="ES19" s="88">
        <f t="shared" si="16"/>
        <v>9</v>
      </c>
      <c r="ET19" s="88">
        <f t="shared" si="16"/>
        <v>10</v>
      </c>
      <c r="EU19" s="88">
        <f t="shared" si="16"/>
        <v>11</v>
      </c>
      <c r="EV19" s="88">
        <f t="shared" si="16"/>
        <v>12</v>
      </c>
      <c r="EW19" s="88">
        <f t="shared" si="16"/>
        <v>13</v>
      </c>
      <c r="EX19" s="88">
        <f t="shared" si="16"/>
        <v>14</v>
      </c>
      <c r="EY19" s="88">
        <f t="shared" si="16"/>
        <v>15</v>
      </c>
      <c r="EZ19" s="88">
        <f t="shared" si="16"/>
        <v>16</v>
      </c>
      <c r="FA19" s="88">
        <f t="shared" si="16"/>
        <v>17</v>
      </c>
      <c r="FB19" s="88">
        <f t="shared" si="16"/>
        <v>18</v>
      </c>
      <c r="FC19" s="88">
        <f t="shared" ref="FC19" si="17">IFERROR(IF(AND($E20="H",AB19&lt;&gt;""),IF(OR(LEFT(AB19,1)="T",LEFT(AB19,1)="S",LEFT(AB19,1)="A",LEFT(AB19,1)="F",LEFT(AB19,1)="C"),LEFT(AB19,1),"R"),FC$18),"")</f>
        <v>19</v>
      </c>
      <c r="FD19" s="88">
        <f t="shared" ref="FD19" si="18">IFERROR(IF(AND($E20="H",AC19&lt;&gt;""),IF(OR(LEFT(AC19,1)="T",LEFT(AC19,1)="S",LEFT(AC19,1)="A",LEFT(AC19,1)="F",LEFT(AC19,1)="C"),LEFT(AC19,1),"R"),FD$18),"")</f>
        <v>20</v>
      </c>
      <c r="FE19" s="88">
        <f t="shared" ref="FE19" si="19">IFERROR(IF(AND($E20="H",AD19&lt;&gt;""),IF(OR(LEFT(AD19,1)="T",LEFT(AD19,1)="S",LEFT(AD19,1)="A",LEFT(AD19,1)="F",LEFT(AD19,1)="C"),LEFT(AD19,1),"R"),FE$18),"")</f>
        <v>21</v>
      </c>
      <c r="FF19" s="88">
        <f t="shared" ref="FF19" si="20">IFERROR(IF(AND($E20="H",AE19&lt;&gt;""),IF(OR(LEFT(AE19,1)="T",LEFT(AE19,1)="S",LEFT(AE19,1)="A",LEFT(AE19,1)="F",LEFT(AE19,1)="C"),LEFT(AE19,1),"R"),FF$18),"")</f>
        <v>22</v>
      </c>
      <c r="FG19" s="88">
        <f t="shared" ref="FG19" si="21">IFERROR(IF(AND($E20="H",AF19&lt;&gt;""),IF(OR(LEFT(AF19,1)="T",LEFT(AF19,1)="S",LEFT(AF19,1)="A",LEFT(AF19,1)="F",LEFT(AF19,1)="C"),LEFT(AF19,1),"R"),FG$18),"")</f>
        <v>23</v>
      </c>
      <c r="FH19" s="88">
        <f t="shared" ref="FH19" si="22">IFERROR(IF(AND($E20="H",AG19&lt;&gt;""),IF(OR(LEFT(AG19,1)="T",LEFT(AG19,1)="S",LEFT(AG19,1)="A",LEFT(AG19,1)="F",LEFT(AG19,1)="C"),LEFT(AG19,1),"R"),FH$18),"")</f>
        <v>24</v>
      </c>
      <c r="FI19" s="88">
        <f t="shared" ref="FI19" si="23">IFERROR(IF(AND($E20="H",AH19&lt;&gt;""),IF(OR(LEFT(AH19,1)="T",LEFT(AH19,1)="S",LEFT(AH19,1)="A",LEFT(AH19,1)="F",LEFT(AH19,1)="C"),LEFT(AH19,1),"R"),FI$18),"")</f>
        <v>25</v>
      </c>
      <c r="FJ19" s="88">
        <f t="shared" ref="FJ19" si="24">IFERROR(IF(AND($E20="H",AI19&lt;&gt;""),IF(OR(LEFT(AI19,1)="T",LEFT(AI19,1)="S",LEFT(AI19,1)="A",LEFT(AI19,1)="F",LEFT(AI19,1)="C"),LEFT(AI19,1),"R"),FJ$18),"")</f>
        <v>26</v>
      </c>
      <c r="FK19" s="88">
        <f t="shared" ref="FK19" si="25">IFERROR(IF(AND($E20="H",AJ19&lt;&gt;""),IF(OR(LEFT(AJ19,1)="T",LEFT(AJ19,1)="S",LEFT(AJ19,1)="A",LEFT(AJ19,1)="F",LEFT(AJ19,1)="C"),LEFT(AJ19,1),"R"),FK$18),"")</f>
        <v>27</v>
      </c>
      <c r="FL19" s="88">
        <f t="shared" ref="FL19" si="26">IFERROR(IF(AND($E20="H",AK19&lt;&gt;""),IF(OR(LEFT(AK19,1)="T",LEFT(AK19,1)="S",LEFT(AK19,1)="A",LEFT(AK19,1)="F",LEFT(AK19,1)="C"),LEFT(AK19,1),"R"),FL$18),"")</f>
        <v>28</v>
      </c>
      <c r="FM19" s="88">
        <f t="shared" ref="FM19" si="27">IFERROR(IF(AND($E20="H",AL19&lt;&gt;""),IF(OR(LEFT(AL19,1)="T",LEFT(AL19,1)="S",LEFT(AL19,1)="A",LEFT(AL19,1)="F",LEFT(AL19,1)="C"),LEFT(AL19,1),"R"),FM$18),"")</f>
        <v>29</v>
      </c>
      <c r="FN19" s="88">
        <f t="shared" ref="FN19" si="28">IFERROR(IF(AND($E20="H",AM19&lt;&gt;""),IF(OR(LEFT(AM19,1)="T",LEFT(AM19,1)="S",LEFT(AM19,1)="A",LEFT(AM19,1)="F",LEFT(AM19,1)="C"),LEFT(AM19,1),"R"),FN$18),"")</f>
        <v>30</v>
      </c>
      <c r="FO19" s="88"/>
      <c r="FP19" s="88"/>
      <c r="FQ19" s="88"/>
      <c r="FR19" s="285"/>
      <c r="FS19" s="285"/>
      <c r="FT19" s="285"/>
      <c r="FU19" s="285"/>
      <c r="FV19" s="285"/>
      <c r="FW19" s="285"/>
      <c r="FX19" s="285"/>
      <c r="FY19" s="285"/>
      <c r="FZ19" s="285"/>
      <c r="GA19" s="285"/>
      <c r="GB19" s="285"/>
      <c r="GC19" s="285"/>
      <c r="GD19" s="285"/>
      <c r="GE19" s="285"/>
      <c r="GF19" s="285"/>
      <c r="GG19" s="285"/>
      <c r="GH19" s="285"/>
      <c r="GI19" s="285"/>
      <c r="GJ19" s="285"/>
      <c r="GK19" s="285"/>
      <c r="GL19" s="285"/>
      <c r="GM19" s="285"/>
      <c r="GN19" s="285"/>
      <c r="GO19" s="285"/>
      <c r="GP19" s="285"/>
      <c r="GQ19" s="285"/>
      <c r="GR19" s="285"/>
      <c r="GS19" s="285"/>
      <c r="GT19" s="285"/>
      <c r="GU19" s="285"/>
      <c r="GV19" s="88"/>
      <c r="GW19" s="88">
        <f>COUNTIF($EK19:$FN19,GW$18)</f>
        <v>0</v>
      </c>
      <c r="GX19" s="88">
        <f t="shared" ref="GX19:HB33" si="29">COUNTIF($EK19:$FN19,GX$18)</f>
        <v>0</v>
      </c>
      <c r="GY19" s="88">
        <f t="shared" si="29"/>
        <v>0</v>
      </c>
      <c r="GZ19" s="88">
        <f t="shared" si="29"/>
        <v>0</v>
      </c>
      <c r="HA19" s="88">
        <f t="shared" si="29"/>
        <v>0</v>
      </c>
      <c r="HB19" s="88">
        <f t="shared" si="29"/>
        <v>0</v>
      </c>
      <c r="HC19" s="88"/>
      <c r="HD19" s="88" t="str">
        <f>IF(AND($F19="Hybrid - Thrust + 2 connections",HD20=0,LEFT($J19,1)="C",LEFT($K19,1)="C",LEFT($L19,1)="C"),"X","")</f>
        <v/>
      </c>
      <c r="HE19" s="88"/>
      <c r="HF19" s="91"/>
      <c r="HG19" s="100"/>
      <c r="HH19" s="100"/>
      <c r="HI19" s="91" t="str">
        <f>IF(E20=3,IF(_xlfn.NUMBERVALUE(LEFT(J19,1))&gt;0,_xlfn.NUMBERVALUE(LEFT(J19,1)),""),"")</f>
        <v/>
      </c>
      <c r="HK19" s="91" t="str">
        <f>IF(OR(E20="B",E20="P"),E20,"")</f>
        <v/>
      </c>
      <c r="HL19" s="91" t="str">
        <f>IF(AND(J19&lt;&gt;"",HK19&lt;&gt;""),IF(HK19="B",MATCH(J19,AcroDD!$U$3:$AE$3,0),MATCH(J19,AcroDD!$U$30:$AC$30,0)),"")</f>
        <v/>
      </c>
      <c r="HM19" s="91" t="str">
        <f>IF(AND(K19&lt;&gt;"",HK19&lt;&gt;""),K19,"")</f>
        <v/>
      </c>
      <c r="HN19" s="91" t="str">
        <f>_xlfn.LET(_xlpm.lista,IF(HK19="B",INDEX(AcroDD!$T$4:$AE$23,0,HL19+1),INDEX(AcroDD!$T$31:$AC$50,0,HL19+1)),IF(AND(OR(HK19="B",HK19="P"),HL19&lt;&gt;"",HM19&lt;&gt;""),IF(ISNUMBER(MATCH(HM19,_xlpm.lista,0)),"OK","X"),""))</f>
        <v/>
      </c>
    </row>
    <row r="20" spans="1:222" ht="12.75" customHeight="1" x14ac:dyDescent="0.35">
      <c r="A20" s="28"/>
      <c r="B20" s="29"/>
      <c r="C20" s="29"/>
      <c r="D20" s="29"/>
      <c r="E20" s="17" t="str">
        <f>IF(F19="Acrobatic - Pair","PA",IF(F19="Acrobatic Airborn","A",IF(F19="Acrobatic Balance","B",IF(F19="Acrobatic Combined","C",IF(F19="Acrobatic Platform","P",IF(F19="Technical Required Element",3,IF(LEFT(F19,4)="Hybr","H","")))))))</f>
        <v/>
      </c>
      <c r="F20" s="17" t="str">
        <f>IF(AND(F19="Hybrid - Thrust + 2 connections",CR19="X"),"Hybrid - Thrust",IF(OR(E20="A",E20="B",E20="C",E20="P"),"Acrobatic",""))</f>
        <v/>
      </c>
      <c r="G20" s="31"/>
      <c r="H20" s="182" t="str">
        <f>IF(E20="PA",IF(OR(LEFT(J19,1)="L",LEFT(J19,1)="S"),"A-Pair-Lift",IF(OR(LEFT(J19,1)="W",LEFT(J19,1)="T"),"A-Pair-Throw",IF(LEFT(J19,1)="J","A-Pair-Jump","A-Pair"))),IF(OR(E20="A",E20="B",E20="C",E20="P"),CONCATENATE("Acro-",E20),""))</f>
        <v/>
      </c>
      <c r="I20" s="176" t="e">
        <f>IF(OR(F19="Hybrid - Choreography (DD = 1)",LEFT(F19,5)="Trans"),0,INDEX($BY$3:$BY$9,MATCH(E20,$BX$3:$BX$9,0)))</f>
        <v>#N/A</v>
      </c>
      <c r="J20" s="171">
        <f ca="1">IFERROR(IF($H19="No DD",IF(J19="ChoHY",1,0),IF(OR(ISBLANK(J19),J19="N/A"),0,INDEX(INDIRECT(BI20),MATCH(J19,INDIRECT(BI19),0)))),0)</f>
        <v>0</v>
      </c>
      <c r="K20" s="171">
        <f t="shared" ref="K20:X20" ca="1" si="30">IFERROR(IF($H19="No DD",0,IF(OR(ISBLANK(K19),K19="N/A"),0,INDEX(INDIRECT(BJ20),MATCH(K19,INDIRECT(BJ19),0)))),0)</f>
        <v>0</v>
      </c>
      <c r="L20" s="171">
        <f t="shared" ca="1" si="30"/>
        <v>0</v>
      </c>
      <c r="M20" s="171">
        <f t="shared" ca="1" si="30"/>
        <v>0</v>
      </c>
      <c r="N20" s="171">
        <f t="shared" ca="1" si="30"/>
        <v>0</v>
      </c>
      <c r="O20" s="171">
        <f t="shared" ca="1" si="30"/>
        <v>0</v>
      </c>
      <c r="P20" s="171">
        <f t="shared" ca="1" si="30"/>
        <v>0</v>
      </c>
      <c r="Q20" s="171">
        <f t="shared" ca="1" si="30"/>
        <v>0</v>
      </c>
      <c r="R20" s="171">
        <f t="shared" ca="1" si="30"/>
        <v>0</v>
      </c>
      <c r="S20" s="171">
        <f t="shared" ca="1" si="30"/>
        <v>0</v>
      </c>
      <c r="T20" s="171">
        <f t="shared" ca="1" si="30"/>
        <v>0</v>
      </c>
      <c r="U20" s="171">
        <f t="shared" ca="1" si="30"/>
        <v>0</v>
      </c>
      <c r="V20" s="171">
        <f t="shared" ca="1" si="30"/>
        <v>0</v>
      </c>
      <c r="W20" s="171">
        <f t="shared" ca="1" si="30"/>
        <v>0</v>
      </c>
      <c r="X20" s="171">
        <f t="shared" ca="1" si="30"/>
        <v>0</v>
      </c>
      <c r="Y20" s="171">
        <f t="shared" ref="Y20" ca="1" si="31">IFERROR(IF($H19="No DD",0,IF(OR(ISBLANK(Y19),Y19="N/A"),0,INDEX(INDIRECT(BX20),MATCH(Y19,INDIRECT(BX19),0)))),0)</f>
        <v>0</v>
      </c>
      <c r="Z20" s="171">
        <f t="shared" ref="Z20" ca="1" si="32">IFERROR(IF($H19="No DD",0,IF(OR(ISBLANK(Z19),Z19="N/A"),0,INDEX(INDIRECT(BY20),MATCH(Z19,INDIRECT(BY19),0)))),0)</f>
        <v>0</v>
      </c>
      <c r="AA20" s="171">
        <f t="shared" ref="AA20" ca="1" si="33">IFERROR(IF($H19="No DD",0,IF(OR(ISBLANK(AA19),AA19="N/A"),0,INDEX(INDIRECT(BZ20),MATCH(AA19,INDIRECT(BZ19),0)))),0)</f>
        <v>0</v>
      </c>
      <c r="AB20" s="171">
        <f t="shared" ref="AB20" ca="1" si="34">IFERROR(IF($H19="No DD",0,IF(OR(ISBLANK(AB19),AB19="N/A"),0,INDEX(INDIRECT(CA20),MATCH(AB19,INDIRECT(CA19),0)))),0)</f>
        <v>0</v>
      </c>
      <c r="AC20" s="171">
        <f t="shared" ref="AC20" ca="1" si="35">IFERROR(IF($H19="No DD",0,IF(OR(ISBLANK(AC19),AC19="N/A"),0,INDEX(INDIRECT(CB20),MATCH(AC19,INDIRECT(CB19),0)))),0)</f>
        <v>0</v>
      </c>
      <c r="AD20" s="171">
        <f t="shared" ref="AD20" ca="1" si="36">IFERROR(IF($H19="No DD",0,IF(OR(ISBLANK(AD19),AD19="N/A"),0,INDEX(INDIRECT(CC20),MATCH(AD19,INDIRECT(CC19),0)))),0)</f>
        <v>0</v>
      </c>
      <c r="AE20" s="171">
        <f t="shared" ref="AE20" ca="1" si="37">IFERROR(IF($H19="No DD",0,IF(OR(ISBLANK(AE19),AE19="N/A"),0,INDEX(INDIRECT(CD20),MATCH(AE19,INDIRECT(CD19),0)))),0)</f>
        <v>0</v>
      </c>
      <c r="AF20" s="171">
        <f t="shared" ref="AF20" ca="1" si="38">IFERROR(IF($H19="No DD",0,IF(OR(ISBLANK(AF19),AF19="N/A"),0,INDEX(INDIRECT(CE20),MATCH(AF19,INDIRECT(CE19),0)))),0)</f>
        <v>0</v>
      </c>
      <c r="AG20" s="171">
        <f t="shared" ref="AG20" ca="1" si="39">IFERROR(IF($H19="No DD",0,IF(OR(ISBLANK(AG19),AG19="N/A"),0,INDEX(INDIRECT(CF20),MATCH(AG19,INDIRECT(CF19),0)))),0)</f>
        <v>0</v>
      </c>
      <c r="AH20" s="171">
        <f t="shared" ref="AH20" ca="1" si="40">IFERROR(IF($H19="No DD",0,IF(OR(ISBLANK(AH19),AH19="N/A"),0,INDEX(INDIRECT(CG20),MATCH(AH19,INDIRECT(CG19),0)))),0)</f>
        <v>0</v>
      </c>
      <c r="AI20" s="171">
        <f t="shared" ref="AI20" ca="1" si="41">IFERROR(IF($H19="No DD",0,IF(OR(ISBLANK(AI19),AI19="N/A"),0,INDEX(INDIRECT(CH20),MATCH(AI19,INDIRECT(CH19),0)))),0)</f>
        <v>0</v>
      </c>
      <c r="AJ20" s="171">
        <f t="shared" ref="AJ20" ca="1" si="42">IFERROR(IF($H19="No DD",0,IF(OR(ISBLANK(AJ19),AJ19="N/A"),0,INDEX(INDIRECT(CI20),MATCH(AJ19,INDIRECT(CI19),0)))),0)</f>
        <v>0</v>
      </c>
      <c r="AK20" s="171">
        <f t="shared" ref="AK20" ca="1" si="43">IFERROR(IF($H19="No DD",0,IF(OR(ISBLANK(AK19),AK19="N/A"),0,INDEX(INDIRECT(CJ20),MATCH(AK19,INDIRECT(CJ19),0)))),0)</f>
        <v>0</v>
      </c>
      <c r="AL20" s="171">
        <f t="shared" ref="AL20" ca="1" si="44">IFERROR(IF($H19="No DD",0,IF(OR(ISBLANK(AL19),AL19="N/A"),0,INDEX(INDIRECT(CK20),MATCH(AL19,INDIRECT(CK19),0)))),0)</f>
        <v>0</v>
      </c>
      <c r="AM20" s="171">
        <f t="shared" ref="AM20" ca="1" si="45">IFERROR(IF($H19="No DD",0,IF(OR(ISBLANK(AM19),AM19="N/A"),0,INDEX(INDIRECT(CL20),MATCH(AM19,INDIRECT(CL19),0)))),0)</f>
        <v>0</v>
      </c>
      <c r="AN20" s="172" t="str">
        <f>IFERROR(IF(E20="H",INDEX(HybridBonus_Value,MATCH(AN19,HybridBonus_Code,0)),""),"")</f>
        <v/>
      </c>
      <c r="AO20" s="276" t="str">
        <f>IFERROR(SUM(I20:AN20),"")</f>
        <v/>
      </c>
      <c r="AP20" s="61"/>
      <c r="AQ20" s="61"/>
      <c r="AR20" s="90"/>
      <c r="AS20" s="90"/>
      <c r="AT20" s="90"/>
      <c r="AU20" s="90"/>
      <c r="AV20" s="90"/>
      <c r="BA20" s="90"/>
      <c r="BB20" s="90"/>
      <c r="BC20" s="90"/>
      <c r="BD20" s="90"/>
      <c r="BE20" s="90"/>
      <c r="BF20" s="90"/>
      <c r="BG20" s="90"/>
      <c r="BH20" s="90"/>
      <c r="BI20" s="91" t="str">
        <f>IF($E20="H",IF($F19="Hybrid - Thrust + 2 connections","Hybrid_Mix_Req_Value","HybridDD_Value"),IF($E20=3,"TreDD_Value",IF($E20="PA","AcroPair_Value",IF(LEFT($F19,4)="Acro",CONCATENATE(BI$16,$E20,"_Value"),""))))</f>
        <v/>
      </c>
      <c r="BJ20" s="91" t="str">
        <f t="shared" ref="BJ20:BQ20" si="46">IF($E20="H",IF($F19="Hybrid - Thrust + 2 connections","Hybrid_Mix_Req_Value","HybridDD_Value"),IF($E20=3,"TreDD_Value",IF($E20="PA","AcroPair_Value",IF(LEFT($F19,4)="Acro",CONCATENATE(BJ$16,$E20,"_Value"),""))))</f>
        <v/>
      </c>
      <c r="BK20" s="91" t="str">
        <f t="shared" si="46"/>
        <v/>
      </c>
      <c r="BL20" s="91" t="str">
        <f t="shared" si="46"/>
        <v/>
      </c>
      <c r="BM20" s="91" t="str">
        <f t="shared" si="46"/>
        <v/>
      </c>
      <c r="BN20" s="91" t="str">
        <f t="shared" si="46"/>
        <v/>
      </c>
      <c r="BO20" s="91" t="str">
        <f t="shared" si="46"/>
        <v/>
      </c>
      <c r="BP20" s="91" t="str">
        <f t="shared" si="46"/>
        <v/>
      </c>
      <c r="BQ20" s="91" t="str">
        <f t="shared" si="46"/>
        <v/>
      </c>
      <c r="BR20" s="90" t="str">
        <f>IF($E20="H",IF($F19="Hybrid - Thrust + 2 connections","Data!$BI$1:$BI$5","HybridDD_Value"),"Data!$BI$1:$BI$5")</f>
        <v>Data!$BI$1:$BI$5</v>
      </c>
      <c r="BS20" s="90" t="str">
        <f t="shared" ref="BS20:CL20" si="47">IF($E20="H",IF($F19="Hybrid - Thrust + 2 connections","Data!$BI$1:$BI$5","HybridDD_Value"),"Data!$BI$1:$BI$5")</f>
        <v>Data!$BI$1:$BI$5</v>
      </c>
      <c r="BT20" s="90" t="str">
        <f t="shared" si="47"/>
        <v>Data!$BI$1:$BI$5</v>
      </c>
      <c r="BU20" s="90" t="str">
        <f t="shared" si="47"/>
        <v>Data!$BI$1:$BI$5</v>
      </c>
      <c r="BV20" s="90" t="str">
        <f t="shared" si="47"/>
        <v>Data!$BI$1:$BI$5</v>
      </c>
      <c r="BW20" s="90" t="str">
        <f t="shared" si="47"/>
        <v>Data!$BI$1:$BI$5</v>
      </c>
      <c r="BX20" s="90" t="str">
        <f t="shared" si="47"/>
        <v>Data!$BI$1:$BI$5</v>
      </c>
      <c r="BY20" s="90" t="str">
        <f t="shared" si="47"/>
        <v>Data!$BI$1:$BI$5</v>
      </c>
      <c r="BZ20" s="90" t="str">
        <f t="shared" si="47"/>
        <v>Data!$BI$1:$BI$5</v>
      </c>
      <c r="CA20" s="90" t="str">
        <f t="shared" si="47"/>
        <v>Data!$BI$1:$BI$5</v>
      </c>
      <c r="CB20" s="90" t="str">
        <f t="shared" si="47"/>
        <v>Data!$BI$1:$BI$5</v>
      </c>
      <c r="CC20" s="90" t="str">
        <f t="shared" si="47"/>
        <v>Data!$BI$1:$BI$5</v>
      </c>
      <c r="CD20" s="90" t="str">
        <f t="shared" si="47"/>
        <v>Data!$BI$1:$BI$5</v>
      </c>
      <c r="CE20" s="90" t="str">
        <f t="shared" si="47"/>
        <v>Data!$BI$1:$BI$5</v>
      </c>
      <c r="CF20" s="90" t="str">
        <f t="shared" si="47"/>
        <v>Data!$BI$1:$BI$5</v>
      </c>
      <c r="CG20" s="90" t="str">
        <f t="shared" si="47"/>
        <v>Data!$BI$1:$BI$5</v>
      </c>
      <c r="CH20" s="90" t="str">
        <f t="shared" si="47"/>
        <v>Data!$BI$1:$BI$5</v>
      </c>
      <c r="CI20" s="90" t="str">
        <f t="shared" si="47"/>
        <v>Data!$BI$1:$BI$5</v>
      </c>
      <c r="CJ20" s="90" t="str">
        <f t="shared" si="47"/>
        <v>Data!$BI$1:$BI$5</v>
      </c>
      <c r="CK20" s="90" t="str">
        <f t="shared" si="47"/>
        <v>Data!$BI$1:$BI$5</v>
      </c>
      <c r="CL20" s="90" t="str">
        <f t="shared" si="47"/>
        <v>Data!$BI$1:$BI$5</v>
      </c>
      <c r="CN20" s="101"/>
      <c r="CO20" s="102" t="str">
        <f>IFERROR(IF(AND($BV$6="T",$BV$8="T",LEFT(F19,4)="Acro",AO20&gt;3),"X",IF($N$7="X",IF(AND(E20="C",AO20&gt;$CN$6),"X",IF(AND(E20="A",AO20&gt;$CN$4),"X",IF(AND(E20="B",AO20&gt;$CN$5),"X",IF(AND(E20="P",AO20&gt;$CN$7),"X","")))),"")),"")</f>
        <v/>
      </c>
      <c r="CP20" s="94"/>
      <c r="CQ20" s="91"/>
      <c r="CS20" s="91"/>
      <c r="CT20" s="91"/>
      <c r="CU20" s="91"/>
      <c r="CV20" s="91"/>
      <c r="CW20" s="91"/>
      <c r="CX20" s="91"/>
      <c r="CY20" s="91"/>
      <c r="CZ20" s="91"/>
      <c r="DD20" s="88" t="str">
        <f t="shared" si="10"/>
        <v/>
      </c>
      <c r="DE20" s="88" t="str">
        <f t="shared" si="11"/>
        <v/>
      </c>
      <c r="DF20" s="88" t="str">
        <f t="shared" si="12"/>
        <v/>
      </c>
      <c r="DG20" s="88" t="str">
        <f t="shared" si="13"/>
        <v/>
      </c>
      <c r="DO20" s="88">
        <v>2</v>
      </c>
      <c r="ED20" s="88" t="str">
        <f t="shared" si="14"/>
        <v/>
      </c>
      <c r="EE20" s="88" t="str">
        <f t="shared" si="15"/>
        <v/>
      </c>
      <c r="EI20" s="88" t="str" cm="1">
        <f t="array" ref="EI20">IFERROR(INDEX(EK20:FN20,MATCH(TRUE,INDEX((EK20:FN20&lt;&gt;""),),0)),"")</f>
        <v/>
      </c>
      <c r="EK20" s="88" t="str">
        <f>IF(F19="Hybrid - Thrust + 2 connections",IF(COUNTIF($EK19:$FN19,EK19)&gt;1,EK19,""),IF(COUNTIF($EK19:$FN19,EK19)&gt;5,EK19,""))</f>
        <v/>
      </c>
      <c r="EL20" s="88" t="str">
        <f t="shared" ref="EL20:FN20" si="48">IF(G19="Hybrid - Thrust + 2 connections",IF(COUNTIF($EK19:$FN19,EL19)&gt;1,EL19,""),IF(COUNTIF($EK19:$FN19,EL19)&gt;5,EL19,""))</f>
        <v/>
      </c>
      <c r="EM20" s="88" t="str">
        <f t="shared" si="48"/>
        <v/>
      </c>
      <c r="EN20" s="88" t="str">
        <f t="shared" si="48"/>
        <v/>
      </c>
      <c r="EO20" s="88" t="str">
        <f t="shared" si="48"/>
        <v/>
      </c>
      <c r="EP20" s="88" t="str">
        <f t="shared" si="48"/>
        <v/>
      </c>
      <c r="EQ20" s="88" t="str">
        <f t="shared" si="48"/>
        <v/>
      </c>
      <c r="ER20" s="88" t="str">
        <f t="shared" si="48"/>
        <v/>
      </c>
      <c r="ES20" s="88" t="str">
        <f t="shared" si="48"/>
        <v/>
      </c>
      <c r="ET20" s="88" t="str">
        <f t="shared" si="48"/>
        <v/>
      </c>
      <c r="EU20" s="88" t="str">
        <f t="shared" si="48"/>
        <v/>
      </c>
      <c r="EV20" s="88" t="str">
        <f t="shared" si="48"/>
        <v/>
      </c>
      <c r="EW20" s="88" t="str">
        <f t="shared" si="48"/>
        <v/>
      </c>
      <c r="EX20" s="88" t="str">
        <f t="shared" si="48"/>
        <v/>
      </c>
      <c r="EY20" s="88" t="str">
        <f t="shared" si="48"/>
        <v/>
      </c>
      <c r="EZ20" s="88" t="str">
        <f t="shared" si="48"/>
        <v/>
      </c>
      <c r="FA20" s="88" t="str">
        <f t="shared" si="48"/>
        <v/>
      </c>
      <c r="FB20" s="88" t="str">
        <f t="shared" si="48"/>
        <v/>
      </c>
      <c r="FC20" s="88" t="str">
        <f t="shared" si="48"/>
        <v/>
      </c>
      <c r="FD20" s="88" t="str">
        <f t="shared" si="48"/>
        <v/>
      </c>
      <c r="FE20" s="88" t="str">
        <f t="shared" si="48"/>
        <v/>
      </c>
      <c r="FF20" s="88" t="str">
        <f t="shared" si="48"/>
        <v/>
      </c>
      <c r="FG20" s="88" t="str">
        <f t="shared" si="48"/>
        <v/>
      </c>
      <c r="FH20" s="88" t="str">
        <f t="shared" si="48"/>
        <v/>
      </c>
      <c r="FI20" s="88" t="str">
        <f t="shared" si="48"/>
        <v/>
      </c>
      <c r="FJ20" s="88" t="str">
        <f t="shared" si="48"/>
        <v/>
      </c>
      <c r="FK20" s="88" t="str">
        <f t="shared" si="48"/>
        <v/>
      </c>
      <c r="FL20" s="88" t="str">
        <f t="shared" si="48"/>
        <v/>
      </c>
      <c r="FM20" s="88" t="str">
        <f t="shared" si="48"/>
        <v/>
      </c>
      <c r="FN20" s="88" t="str">
        <f t="shared" si="48"/>
        <v/>
      </c>
      <c r="FO20" s="88">
        <v>0</v>
      </c>
      <c r="FP20" s="88" t="str" cm="1">
        <f t="array" ref="FP20">IF(FQ20&lt;&gt;"",LEFT(FQ20,FIND("*",FQ20)-1),INDEX($FP$75:$FP$172,FO20+1))</f>
        <v/>
      </c>
      <c r="FQ20" s="88" t="str" cm="1">
        <f t="array" ref="FQ20">INDEX($FQ$75:$FQ$172,FO20+1)</f>
        <v/>
      </c>
      <c r="FR20" s="285"/>
      <c r="FS20" s="285"/>
      <c r="FT20" s="285"/>
      <c r="FU20" s="285"/>
      <c r="FV20" s="285"/>
      <c r="FW20" s="285"/>
      <c r="FX20" s="285"/>
      <c r="FY20" s="285"/>
      <c r="FZ20" s="285"/>
      <c r="GA20" s="285"/>
      <c r="GB20" s="285"/>
      <c r="GC20" s="285"/>
      <c r="GD20" s="285"/>
      <c r="GE20" s="285"/>
      <c r="GF20" s="285"/>
      <c r="GG20" s="285"/>
      <c r="GH20" s="285"/>
      <c r="GI20" s="285"/>
      <c r="GJ20" s="285"/>
      <c r="GK20" s="285"/>
      <c r="GL20" s="285"/>
      <c r="GM20" s="285"/>
      <c r="GN20" s="285"/>
      <c r="GO20" s="285"/>
      <c r="GP20" s="285"/>
      <c r="GQ20" s="285"/>
      <c r="GR20" s="285"/>
      <c r="GS20" s="285"/>
      <c r="GT20" s="285"/>
      <c r="GU20" s="285"/>
      <c r="GV20" s="88"/>
      <c r="GW20" s="88"/>
      <c r="GX20" s="88"/>
      <c r="GY20" s="88"/>
      <c r="GZ20" s="88"/>
      <c r="HA20" s="88"/>
      <c r="HB20" s="88"/>
      <c r="HC20" s="88"/>
      <c r="HD20" s="88" t="str">
        <f>IF($F19="Hybrid - Thrust + 2 connections",COUNTBLANK(J19:L19),"")</f>
        <v/>
      </c>
      <c r="HE20" s="88"/>
      <c r="HF20" s="91"/>
      <c r="HG20" s="91"/>
      <c r="HH20" s="91"/>
      <c r="HI20" s="91"/>
    </row>
    <row r="21" spans="1:222" ht="12.75" customHeight="1" x14ac:dyDescent="0.35">
      <c r="A21" s="28" t="str">
        <f>IF(AND(E19="",A19&lt;&gt;""),IF(CP19=$CP$18,"",IF(C19&lt;&gt;"",IF(D19=59,MINUTE(CP19)+1,MINUTE(CP19)),"")),"")</f>
        <v/>
      </c>
      <c r="B21" s="29" t="str">
        <f>IF(AND(E19="",B19&lt;&gt;""),IF(CP19=$CP$18,"",IF(C19&lt;&gt;"",IF(D19=59,0,SECOND(CP19)+1),"")),"")</f>
        <v/>
      </c>
      <c r="C21" s="39"/>
      <c r="D21" s="39"/>
      <c r="E21" s="9"/>
      <c r="F21" s="40"/>
      <c r="G21" s="31" t="str">
        <f>IF(F21&lt;&gt;"",IF(OR(F21="Transition",F21="Transition - Surface Connection"),0,MAX($G$19:G20)+1),"")</f>
        <v/>
      </c>
      <c r="H21" s="43" t="str">
        <f>IFERROR(IF(E22="3","",IF(OR(F21="Hybrid - Choreography (DD = 1)",LEFT(F21,5)="Trans"),"No DD",CONCATENATE("BM = ",I22))),"")</f>
        <v/>
      </c>
      <c r="I21" s="44"/>
      <c r="J21" s="109"/>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58"/>
      <c r="AO21" s="32"/>
      <c r="AP21" s="61"/>
      <c r="AQ21" s="61"/>
      <c r="AR21" s="90"/>
      <c r="AS21" s="90"/>
      <c r="AT21" s="90"/>
      <c r="AU21" s="90"/>
      <c r="AV21" s="90"/>
      <c r="AW21" s="91" t="str">
        <f t="shared" ref="AW21" si="49">E22</f>
        <v/>
      </c>
      <c r="AX21" s="94" t="str">
        <f t="shared" ref="AX21" si="50">IF(AY21=0,"",TIME(0,A21,B21))</f>
        <v/>
      </c>
      <c r="AY21" s="94">
        <f t="shared" ref="AY21" si="51">TIME(0,C21,D21)</f>
        <v>0</v>
      </c>
      <c r="AZ21" s="94" t="str">
        <f t="shared" ref="AZ21" si="52">IFERROR(AY21-AX21,"")</f>
        <v/>
      </c>
      <c r="BA21" s="237" t="str">
        <f t="shared" ref="BA21" si="53">IF($AX$17=0,"",IF(AND($C$10&lt;&gt;"",AW21="H",AZ21&gt;$AX$17),"X",""))</f>
        <v/>
      </c>
      <c r="BB21" s="90"/>
      <c r="BC21" s="90"/>
      <c r="BD21" s="90"/>
      <c r="BE21" s="90"/>
      <c r="BF21" s="90"/>
      <c r="BG21" s="90" t="str">
        <f>IFERROR(IF(F21&lt;&gt;"",INDEX(Parts_Active,MATCH(F21,Parts_Active,0)),""),"No")</f>
        <v/>
      </c>
      <c r="BH21" s="90"/>
      <c r="BI21" s="90" t="str">
        <f>IF($E22="H",IF($F21="Hybrid - Thrust + 2 connections","Hybrid_Mix_Req",IF($F21="Hybrid - Choreography (DD = 1)","Hybrid_ChoHY","HybridDD_Code")),IF($E22=3,"TreDD_Code",IF($E22="PA","AcroPair_Code",IF(LEFT($F21,4)="Acro",CONCATENATE(BI$16,$E22,"_Code"),"Data!$BI$1:$BI$5"))))</f>
        <v>Data!$BI$1:$BI$5</v>
      </c>
      <c r="BJ21" s="90" t="str">
        <f t="shared" ref="BJ21" si="54">IF($E22="H",IF($F21="Hybrid - Thrust + 2 connections","Hybrid_Mix_Req",IF($F21="Hybrid - min 4 swimmers (no DD)","Data!$BI$1:$BI$5","HybridDD_Code")),IF($E22=3,"TreDD_Code",IF($E22="PA","AcroPair_Code",IF(LEFT($F21,4)="Acro",CONCATENATE(BJ$16,$E22,"_Code"),"Data!$BI$1:$BI$5"))))</f>
        <v>Data!$BI$1:$BI$5</v>
      </c>
      <c r="BK21" s="90" t="str">
        <f t="shared" si="6"/>
        <v>Data!$BI$1:$BI$5</v>
      </c>
      <c r="BL21" s="90" t="str">
        <f t="shared" si="6"/>
        <v>Data!$BI$1:$BI$5</v>
      </c>
      <c r="BM21" s="90" t="str">
        <f t="shared" si="6"/>
        <v>Data!$BI$1:$BI$5</v>
      </c>
      <c r="BN21" s="90" t="str">
        <f t="shared" si="6"/>
        <v>Data!$BI$1:$BI$5</v>
      </c>
      <c r="BO21" s="90" t="str">
        <f t="shared" si="6"/>
        <v>Data!$BI$1:$BI$5</v>
      </c>
      <c r="BP21" s="90" t="str">
        <f t="shared" si="6"/>
        <v>Data!$BI$1:$BI$5</v>
      </c>
      <c r="BQ21" s="90" t="str">
        <f t="shared" si="6"/>
        <v>Data!$BI$1:$BI$5</v>
      </c>
      <c r="BR21" s="90" t="str">
        <f t="shared" ref="BR21" si="55">IF($E22="H",IF($F21="Hybrid - Thrust + 2 connections","Data!$BI$1:$BI$5","HybridDD_Code"),"Data!$BI$1:$BI$5")</f>
        <v>Data!$BI$1:$BI$5</v>
      </c>
      <c r="BS21" s="90" t="str">
        <f t="shared" si="7"/>
        <v>Data!$BI$1:$BI$5</v>
      </c>
      <c r="BT21" s="90" t="str">
        <f t="shared" si="7"/>
        <v>Data!$BI$1:$BI$5</v>
      </c>
      <c r="BU21" s="90" t="str">
        <f t="shared" si="7"/>
        <v>Data!$BI$1:$BI$5</v>
      </c>
      <c r="BV21" s="90" t="str">
        <f t="shared" si="7"/>
        <v>Data!$BI$1:$BI$5</v>
      </c>
      <c r="BW21" s="90" t="str">
        <f t="shared" si="7"/>
        <v>Data!$BI$1:$BI$5</v>
      </c>
      <c r="BX21" s="90" t="str">
        <f t="shared" si="7"/>
        <v>Data!$BI$1:$BI$5</v>
      </c>
      <c r="BY21" s="90" t="str">
        <f t="shared" si="7"/>
        <v>Data!$BI$1:$BI$5</v>
      </c>
      <c r="BZ21" s="90" t="str">
        <f t="shared" si="7"/>
        <v>Data!$BI$1:$BI$5</v>
      </c>
      <c r="CA21" s="90" t="str">
        <f t="shared" si="7"/>
        <v>Data!$BI$1:$BI$5</v>
      </c>
      <c r="CB21" s="90" t="str">
        <f t="shared" si="7"/>
        <v>Data!$BI$1:$BI$5</v>
      </c>
      <c r="CC21" s="90" t="str">
        <f t="shared" si="7"/>
        <v>Data!$BI$1:$BI$5</v>
      </c>
      <c r="CD21" s="90" t="str">
        <f t="shared" si="7"/>
        <v>Data!$BI$1:$BI$5</v>
      </c>
      <c r="CE21" s="90" t="str">
        <f t="shared" si="7"/>
        <v>Data!$BI$1:$BI$5</v>
      </c>
      <c r="CF21" s="90" t="str">
        <f t="shared" si="7"/>
        <v>Data!$BI$1:$BI$5</v>
      </c>
      <c r="CG21" s="90" t="str">
        <f t="shared" si="7"/>
        <v>Data!$BI$1:$BI$5</v>
      </c>
      <c r="CH21" s="90" t="str">
        <f t="shared" si="7"/>
        <v>Data!$BI$1:$BI$5</v>
      </c>
      <c r="CI21" s="90" t="str">
        <f t="shared" si="8"/>
        <v>Data!$BI$1:$BI$5</v>
      </c>
      <c r="CJ21" s="90" t="str">
        <f t="shared" si="8"/>
        <v>Data!$BI$1:$BI$5</v>
      </c>
      <c r="CK21" s="90" t="str">
        <f t="shared" si="8"/>
        <v>Data!$BI$1:$BI$5</v>
      </c>
      <c r="CL21" s="90" t="str">
        <f t="shared" si="8"/>
        <v>Data!$BI$1:$BI$5</v>
      </c>
      <c r="CM21" s="90"/>
      <c r="CN21" s="90"/>
      <c r="CO21" s="93" t="str">
        <f>IFERROR(TIME(0,A21,B21),"")</f>
        <v/>
      </c>
      <c r="CP21" s="94">
        <f>IFERROR(TIME(0,C21,D21),"")</f>
        <v>0</v>
      </c>
      <c r="CQ21" s="94" t="str">
        <f t="shared" ref="CQ21" si="56">IF(CP21&gt;$D$12,"X","")</f>
        <v/>
      </c>
      <c r="CR21" s="88" t="str">
        <f>IF(AND(F21="Hybrid - Thrust + 2 connections",OR(LEFT(J21,1)="T",LEFT(K21,1)="T",LEFT(L21,1)="T",LEFT(PB21,1)="T",LEFT(M21,1)="T",LEFT(N21,1)="T",LEFT(O21,1)="T",LEFT(P21,1)="T",LEFT(Q21,1)="T",LEFT(R21,1)="T",LEFT(S21,1)="T",LEFT(T21,1)="T",LEFT(U21,1)="T",LEFT(V21,1)="T",LEFT(W21,1)="T",LEFT(X21,1)="T",LEFT(AK21,1)="T",LEFT(AL21,1)="T",LEFT(AM21,1)="T")),IF(OR(LEN(J21)=2,LEN(K21)=2,LEN(L21)=2,LEN(M21)=2,LEN(N21)=2,LEN(O21)=2,LEN(P21)=2,LEN(Q21)=2,LEN(R21)=2,LEN(S21)=2,LEN(T21)=2,LEN(U21)=2,LEN(V21)=2,LEN(W21)=2,LEN(X21)=2,LEN(Y21)=2,LEN(Z21)=2,LEN(AK21)=2,LEN(AL21)=2,LEN(AM21)=2),"X",""),"")</f>
        <v/>
      </c>
      <c r="CT21" s="88" t="str">
        <f>IF(LEFT(F21,4)="Acro",IF(AND(N21&lt;&gt;"",M21=RIGHT(N21,2)),"X","OK"),"")</f>
        <v/>
      </c>
      <c r="CU21" s="90" t="str">
        <f t="shared" ref="CU21:DB21" si="57">IFERROR(IF(AND(LEFT($F21,4)="Acro",INDEX(Requ_App,MATCH(BI21,Requ_Code,0))="No"),"X",""),"")</f>
        <v/>
      </c>
      <c r="CV21" s="90" t="str">
        <f t="shared" si="57"/>
        <v/>
      </c>
      <c r="CW21" s="90" t="str">
        <f t="shared" si="57"/>
        <v/>
      </c>
      <c r="CX21" s="90" t="str">
        <f t="shared" si="57"/>
        <v/>
      </c>
      <c r="CY21" s="90" t="str">
        <f t="shared" si="57"/>
        <v/>
      </c>
      <c r="CZ21" s="90" t="str">
        <f t="shared" si="57"/>
        <v/>
      </c>
      <c r="DA21" s="90" t="str">
        <f t="shared" si="57"/>
        <v/>
      </c>
      <c r="DB21" s="90" t="str">
        <f t="shared" si="57"/>
        <v/>
      </c>
      <c r="DC21" s="90" t="str">
        <f>IFERROR(IF(AND(LEFT($F21,4)="Acro",INDEX(Requ_App,MATCH(BP21,Requ_Code,0))="No"),"X",""),"")</f>
        <v/>
      </c>
      <c r="DD21" s="88" t="str">
        <f t="shared" si="10"/>
        <v/>
      </c>
      <c r="DE21" s="88" t="str">
        <f t="shared" si="11"/>
        <v/>
      </c>
      <c r="DF21" s="88" t="str">
        <f t="shared" si="12"/>
        <v/>
      </c>
      <c r="DG21" s="88" t="str">
        <f t="shared" si="13"/>
        <v/>
      </c>
      <c r="DK21" s="88">
        <f t="shared" ref="DK21" si="58">IF(AND(E22="A",OR(Q21="Grip",Q21="Conn",Q21="Catch")),"A1",IF(AND(E22="A",OR(Q21="Hula",Q21="RetSq",Q21="RetPa")),"A2",IF(AND(E22="B",OR(Q21="Twirl",Q21="RotF")),"B1",IF(AND(E22="B",OR(Q21="Moon",Q21="Mov",Q21="Hold")),"B2",IF(AND(E22="P",OR(Q21="Porp",Q21="Splch")),"P1",IF(AND(E22="P",OR(Q21="Diva",Q21="Stand")),"P2",IF(AND(E22="P",OR(Q21="Spider",Q21="Climb")),"P3",IF(AND(E22="P",OR(Q21="Fall",Q21="FTurn")),"P4",IF(AND(E22="C",OR(Q21="Jump",Q21="Jump&gt;",Q21="On1Foot",Q21="1F&gt;1F")),"C1",IF(AND(E22="C",OR(Q21="Run",Q21="BRun")),"C2",1))))))))))</f>
        <v>1</v>
      </c>
      <c r="DL21" s="88">
        <f t="shared" ref="DL21" si="59">IF(AND(E22="A",OR(R21="Grip",R21="Conn",R21="Catch")),"A1",IF(AND(E22="A",OR(R21="Hula",R21="RetSq",R21="RetPa")),"A2",IF(AND(E22="B",OR(R21="Twirl",R21="RotF")),"B1",IF(AND(E22="B",OR(R21="Moon",R21="Mov",R21="Hold")),"B2",IF(AND(E22="P",OR(R21="Porp",R21="Spich")),"P1",IF(AND(E22="P",OR(R21="Diva",R21="Stand")),"P2",IF(AND(E22="P",OR(R21="Spider",R21="Climb")),"P3",IF(AND(E22="P",OR(R21="Fall",R21="FTurn")),"P4",IF(AND(E22="C",OR(R21="Jump",R21="Jump&gt;",R21="On1Foot",R21="1F&gt;1F")),"C1",IF(AND(E22="C",OR(R21="Run",R21="BRun")),"C2",2))))))))))</f>
        <v>2</v>
      </c>
      <c r="DM21" s="88" t="str">
        <f t="shared" ref="DM21" si="60">IF(AND(N21="",OR(Q21&lt;&gt;"",R21&lt;&gt;"")),"X",IF(AND(LEFT(F21,4)="Acro",Q21&lt;&gt;"",OR(Q21=R21,DK21=DL21)),IF(R21="C-Roll","","X"),IF(OR(AND(E22="A",Q21="Catch",R21&lt;&gt;"Dbl"),AND(E22="A",R21="Catch",Q21&lt;&gt;"Dbl")),"X","")))</f>
        <v/>
      </c>
      <c r="DN21" s="88" t="str">
        <f>IF(E22="PA",J21,"")</f>
        <v/>
      </c>
      <c r="DO21" s="88">
        <v>3</v>
      </c>
      <c r="DQ21" s="88" t="str">
        <f>IF(AND($E22="A",COUNTIF($DZ$19:$EA$68,DZ21)&gt;1),DZ21,"")</f>
        <v/>
      </c>
      <c r="DR21" s="88" t="str">
        <f>IF(AND($E22="A",COUNTIF($DZ$19:$EA$68,EA21)&gt;1),EA21,"")</f>
        <v/>
      </c>
      <c r="DS21" s="88" t="str">
        <f ca="1">IF(AND($E22="B",COUNTIF($J$19:$J$68,J21)&gt;1),J21,"")</f>
        <v/>
      </c>
      <c r="DT21" s="88" t="str">
        <f ca="1">IF(AND($E22="B",COUNTIF($K$19:$K$68,K21)&gt;1),K21,"")</f>
        <v/>
      </c>
      <c r="DU21" s="88" t="str">
        <f ca="1">IF(AND($E22="C",COUNTIF($J$19:$J$68,J21)&gt;1),J21,"")</f>
        <v/>
      </c>
      <c r="DV21" s="88" t="str">
        <f ca="1">IF(AND($E22="P",COUNTIF($J$19:$J$68,J21)&gt;1),J21,"")</f>
        <v/>
      </c>
      <c r="DW21" s="88" t="str">
        <f ca="1">IF(AND($E22="P",COUNTIF($K$19:$K$68,K21)&gt;1),K21,"")</f>
        <v/>
      </c>
      <c r="DX21" s="88" t="str">
        <f>IF(AND($E22="P",COUNTIF($DZ$19:$EA$68,DZ21)&gt;1),DZ21,"")</f>
        <v/>
      </c>
      <c r="DY21" s="88" t="str">
        <f>IF(AND($E22="P",COUNTIF($DZ$19:$EA$68,EA21)&gt;1),EA21,"")</f>
        <v/>
      </c>
      <c r="DZ21" s="88" t="str">
        <f>IFERROR(IF(OR(E22="A",E22="P"),M21,""),"")</f>
        <v/>
      </c>
      <c r="EA21" s="88" t="str">
        <f>IFERROR(IF(OR(E22="A",E22="P"),RIGHT(N21,2),""),"")</f>
        <v/>
      </c>
      <c r="EB21" s="88" t="str">
        <f t="shared" ref="EB21" si="61">IF(Q21="","",IF(AND($E22="P",COUNTIF($Q$19:$R$68,Q21)&gt;1),Q21,""))</f>
        <v/>
      </c>
      <c r="EC21" s="88" t="str">
        <f t="shared" ref="EC21" si="62">IF(R21="","",IF(AND($E22="P",COUNTIF($Q$19:$R$68,R21)&gt;1),R21,""))</f>
        <v/>
      </c>
      <c r="ED21" s="88" t="str">
        <f t="shared" si="14"/>
        <v/>
      </c>
      <c r="EE21" s="88" t="str">
        <f t="shared" si="15"/>
        <v/>
      </c>
      <c r="EF21" s="88" t="str">
        <f t="shared" ref="EF21" si="63">IF(AND(OR($F$8="Open Team Acrobatic",$F$8="Open Team Technical"),LEFT(F21,4)="Acro"),E22,"")</f>
        <v/>
      </c>
      <c r="EG21" s="88" t="str">
        <f t="shared" ref="EG21" si="64">IF(EF21="","",IFERROR(IF($F$8="Open Team Acrobatic",IF(HLOOKUP(EF21,$DQ$12:$DT$13,2,FALSE)&gt;2,"X",""),IF(HLOOKUP(EF21,$DQ$12:$DT$13,2,FALSE)&gt;1,"X","")),""))</f>
        <v/>
      </c>
      <c r="EI21" s="88" t="str">
        <f t="shared" ref="EI21" si="65">IF(OR(AND(F21="Hybrid - Thrust + 2 connections",EI22="T"),AND(E22="H",EI22&lt;&gt;"",EI75="X")),"X","")</f>
        <v/>
      </c>
      <c r="EK21" s="88">
        <f t="shared" ref="EK21" si="66">IFERROR(IF(AND($E22="H",J21&lt;&gt;"",J21&lt;&gt;"ChoHY"),IF(OR(LEFT(J21,1)="T",LEFT(J21,1)="S",LEFT(J21,1)="A",LEFT(J21,1)="F",LEFT(J21,1)="C"),LEFT(J21,1),"R"),EK$18),"")</f>
        <v>1</v>
      </c>
      <c r="EL21" s="88">
        <f t="shared" ref="EL21" si="67">IFERROR(IF(AND($E22="H",K21&lt;&gt;""),IF(OR(LEFT(K21,1)="T",LEFT(K21,1)="S",LEFT(K21,1)="A",LEFT(K21,1)="F",LEFT(K21,1)="C"),LEFT(K21,1),"R"),EL$18),"")</f>
        <v>2</v>
      </c>
      <c r="EM21" s="88">
        <f t="shared" ref="EM21" si="68">IFERROR(IF(AND($E22="H",L21&lt;&gt;""),IF(OR(LEFT(L21,1)="T",LEFT(L21,1)="S",LEFT(L21,1)="A",LEFT(L21,1)="F",LEFT(L21,1)="C"),LEFT(L21,1),"R"),EM$18),"")</f>
        <v>3</v>
      </c>
      <c r="EN21" s="88">
        <f t="shared" ref="EN21" si="69">IFERROR(IF(AND($E22="H",M21&lt;&gt;""),IF(OR(LEFT(M21,1)="T",LEFT(M21,1)="S",LEFT(M21,1)="A",LEFT(M21,1)="F",LEFT(M21,1)="C"),LEFT(M21,1),"R"),EN$18),"")</f>
        <v>4</v>
      </c>
      <c r="EO21" s="88">
        <f t="shared" ref="EO21" si="70">IFERROR(IF(AND($E22="H",N21&lt;&gt;""),IF(OR(LEFT(N21,1)="T",LEFT(N21,1)="S",LEFT(N21,1)="A",LEFT(N21,1)="F",LEFT(N21,1)="C"),LEFT(N21,1),"R"),EO$18),"")</f>
        <v>5</v>
      </c>
      <c r="EP21" s="88">
        <f t="shared" ref="EP21" si="71">IFERROR(IF(AND($E22="H",O21&lt;&gt;""),IF(OR(LEFT(O21,1)="T",LEFT(O21,1)="S",LEFT(O21,1)="A",LEFT(O21,1)="F",LEFT(O21,1)="C"),LEFT(O21,1),"R"),EP$18),"")</f>
        <v>6</v>
      </c>
      <c r="EQ21" s="88">
        <f t="shared" ref="EQ21" si="72">IFERROR(IF(AND($E22="H",P21&lt;&gt;""),IF(OR(LEFT(P21,1)="T",LEFT(P21,1)="S",LEFT(P21,1)="A",LEFT(P21,1)="F",LEFT(P21,1)="C"),LEFT(P21,1),"R"),EQ$18),"")</f>
        <v>7</v>
      </c>
      <c r="ER21" s="88">
        <f t="shared" ref="ER21" si="73">IFERROR(IF(AND($E22="H",Q21&lt;&gt;""),IF(OR(LEFT(Q21,1)="T",LEFT(Q21,1)="S",LEFT(Q21,1)="A",LEFT(Q21,1)="F",LEFT(Q21,1)="C"),LEFT(Q21,1),"R"),ER$18),"")</f>
        <v>8</v>
      </c>
      <c r="ES21" s="88">
        <f t="shared" ref="ES21" si="74">IFERROR(IF(AND($E22="H",R21&lt;&gt;""),IF(OR(LEFT(R21,1)="T",LEFT(R21,1)="S",LEFT(R21,1)="A",LEFT(R21,1)="F",LEFT(R21,1)="C"),LEFT(R21,1),"R"),ES$18),"")</f>
        <v>9</v>
      </c>
      <c r="ET21" s="88">
        <f t="shared" ref="ET21" si="75">IFERROR(IF(AND($E22="H",S21&lt;&gt;""),IF(OR(LEFT(S21,1)="T",LEFT(S21,1)="S",LEFT(S21,1)="A",LEFT(S21,1)="F",LEFT(S21,1)="C"),LEFT(S21,1),"R"),ET$18),"")</f>
        <v>10</v>
      </c>
      <c r="EU21" s="88">
        <f t="shared" ref="EU21" si="76">IFERROR(IF(AND($E22="H",T21&lt;&gt;""),IF(OR(LEFT(T21,1)="T",LEFT(T21,1)="S",LEFT(T21,1)="A",LEFT(T21,1)="F",LEFT(T21,1)="C"),LEFT(T21,1),"R"),EU$18),"")</f>
        <v>11</v>
      </c>
      <c r="EV21" s="88">
        <f t="shared" ref="EV21" si="77">IFERROR(IF(AND($E22="H",U21&lt;&gt;""),IF(OR(LEFT(U21,1)="T",LEFT(U21,1)="S",LEFT(U21,1)="A",LEFT(U21,1)="F",LEFT(U21,1)="C"),LEFT(U21,1),"R"),EV$18),"")</f>
        <v>12</v>
      </c>
      <c r="EW21" s="88">
        <f t="shared" ref="EW21" si="78">IFERROR(IF(AND($E22="H",V21&lt;&gt;""),IF(OR(LEFT(V21,1)="T",LEFT(V21,1)="S",LEFT(V21,1)="A",LEFT(V21,1)="F",LEFT(V21,1)="C"),LEFT(V21,1),"R"),EW$18),"")</f>
        <v>13</v>
      </c>
      <c r="EX21" s="88">
        <f t="shared" ref="EX21" si="79">IFERROR(IF(AND($E22="H",W21&lt;&gt;""),IF(OR(LEFT(W21,1)="T",LEFT(W21,1)="S",LEFT(W21,1)="A",LEFT(W21,1)="F",LEFT(W21,1)="C"),LEFT(W21,1),"R"),EX$18),"")</f>
        <v>14</v>
      </c>
      <c r="EY21" s="88">
        <f t="shared" ref="EY21" si="80">IFERROR(IF(AND($E22="H",X21&lt;&gt;""),IF(OR(LEFT(X21,1)="T",LEFT(X21,1)="S",LEFT(X21,1)="A",LEFT(X21,1)="F",LEFT(X21,1)="C"),LEFT(X21,1),"R"),EY$18),"")</f>
        <v>15</v>
      </c>
      <c r="EZ21" s="88">
        <f t="shared" ref="EZ21" si="81">IFERROR(IF(AND($E22="H",Y21&lt;&gt;""),IF(OR(LEFT(Y21,1)="T",LEFT(Y21,1)="S",LEFT(Y21,1)="A",LEFT(Y21,1)="F",LEFT(Y21,1)="C"),LEFT(Y21,1),"R"),EZ$18),"")</f>
        <v>16</v>
      </c>
      <c r="FA21" s="88">
        <f t="shared" ref="FA21" si="82">IFERROR(IF(AND($E22="H",Z21&lt;&gt;""),IF(OR(LEFT(Z21,1)="T",LEFT(Z21,1)="S",LEFT(Z21,1)="A",LEFT(Z21,1)="F",LEFT(Z21,1)="C"),LEFT(Z21,1),"R"),FA$18),"")</f>
        <v>17</v>
      </c>
      <c r="FB21" s="88">
        <f t="shared" ref="FB21" si="83">IFERROR(IF(AND($E22="H",AA21&lt;&gt;""),IF(OR(LEFT(AA21,1)="T",LEFT(AA21,1)="S",LEFT(AA21,1)="A",LEFT(AA21,1)="F",LEFT(AA21,1)="C"),LEFT(AA21,1),"R"),FB$18),"")</f>
        <v>18</v>
      </c>
      <c r="FC21" s="88">
        <f t="shared" ref="FC21" si="84">IFERROR(IF(AND($E22="H",AB21&lt;&gt;""),IF(OR(LEFT(AB21,1)="T",LEFT(AB21,1)="S",LEFT(AB21,1)="A",LEFT(AB21,1)="F",LEFT(AB21,1)="C"),LEFT(AB21,1),"R"),FC$18),"")</f>
        <v>19</v>
      </c>
      <c r="FD21" s="88">
        <f t="shared" ref="FD21" si="85">IFERROR(IF(AND($E22="H",AC21&lt;&gt;""),IF(OR(LEFT(AC21,1)="T",LEFT(AC21,1)="S",LEFT(AC21,1)="A",LEFT(AC21,1)="F",LEFT(AC21,1)="C"),LEFT(AC21,1),"R"),FD$18),"")</f>
        <v>20</v>
      </c>
      <c r="FE21" s="88">
        <f t="shared" ref="FE21" si="86">IFERROR(IF(AND($E22="H",AD21&lt;&gt;""),IF(OR(LEFT(AD21,1)="T",LEFT(AD21,1)="S",LEFT(AD21,1)="A",LEFT(AD21,1)="F",LEFT(AD21,1)="C"),LEFT(AD21,1),"R"),FE$18),"")</f>
        <v>21</v>
      </c>
      <c r="FF21" s="88">
        <f t="shared" ref="FF21" si="87">IFERROR(IF(AND($E22="H",AE21&lt;&gt;""),IF(OR(LEFT(AE21,1)="T",LEFT(AE21,1)="S",LEFT(AE21,1)="A",LEFT(AE21,1)="F",LEFT(AE21,1)="C"),LEFT(AE21,1),"R"),FF$18),"")</f>
        <v>22</v>
      </c>
      <c r="FG21" s="88">
        <f t="shared" ref="FG21" si="88">IFERROR(IF(AND($E22="H",AF21&lt;&gt;""),IF(OR(LEFT(AF21,1)="T",LEFT(AF21,1)="S",LEFT(AF21,1)="A",LEFT(AF21,1)="F",LEFT(AF21,1)="C"),LEFT(AF21,1),"R"),FG$18),"")</f>
        <v>23</v>
      </c>
      <c r="FH21" s="88">
        <f t="shared" ref="FH21" si="89">IFERROR(IF(AND($E22="H",AG21&lt;&gt;""),IF(OR(LEFT(AG21,1)="T",LEFT(AG21,1)="S",LEFT(AG21,1)="A",LEFT(AG21,1)="F",LEFT(AG21,1)="C"),LEFT(AG21,1),"R"),FH$18),"")</f>
        <v>24</v>
      </c>
      <c r="FI21" s="88">
        <f t="shared" ref="FI21" si="90">IFERROR(IF(AND($E22="H",AH21&lt;&gt;""),IF(OR(LEFT(AH21,1)="T",LEFT(AH21,1)="S",LEFT(AH21,1)="A",LEFT(AH21,1)="F",LEFT(AH21,1)="C"),LEFT(AH21,1),"R"),FI$18),"")</f>
        <v>25</v>
      </c>
      <c r="FJ21" s="88">
        <f t="shared" ref="FJ21" si="91">IFERROR(IF(AND($E22="H",AI21&lt;&gt;""),IF(OR(LEFT(AI21,1)="T",LEFT(AI21,1)="S",LEFT(AI21,1)="A",LEFT(AI21,1)="F",LEFT(AI21,1)="C"),LEFT(AI21,1),"R"),FJ$18),"")</f>
        <v>26</v>
      </c>
      <c r="FK21" s="88">
        <f t="shared" ref="FK21" si="92">IFERROR(IF(AND($E22="H",AJ21&lt;&gt;""),IF(OR(LEFT(AJ21,1)="T",LEFT(AJ21,1)="S",LEFT(AJ21,1)="A",LEFT(AJ21,1)="F",LEFT(AJ21,1)="C"),LEFT(AJ21,1),"R"),FK$18),"")</f>
        <v>27</v>
      </c>
      <c r="FL21" s="88">
        <f t="shared" ref="FL21" si="93">IFERROR(IF(AND($E22="H",AK21&lt;&gt;""),IF(OR(LEFT(AK21,1)="T",LEFT(AK21,1)="S",LEFT(AK21,1)="A",LEFT(AK21,1)="F",LEFT(AK21,1)="C"),LEFT(AK21,1),"R"),FL$18),"")</f>
        <v>28</v>
      </c>
      <c r="FM21" s="88">
        <f t="shared" ref="FM21" si="94">IFERROR(IF(AND($E22="H",AL21&lt;&gt;""),IF(OR(LEFT(AL21,1)="T",LEFT(AL21,1)="S",LEFT(AL21,1)="A",LEFT(AL21,1)="F",LEFT(AL21,1)="C"),LEFT(AL21,1),"R"),FM$18),"")</f>
        <v>29</v>
      </c>
      <c r="FN21" s="88">
        <f t="shared" ref="FN21" si="95">IFERROR(IF(AND($E22="H",AM21&lt;&gt;""),IF(OR(LEFT(AM21,1)="T",LEFT(AM21,1)="S",LEFT(AM21,1)="A",LEFT(AM21,1)="F",LEFT(AM21,1)="C"),LEFT(AM21,1),"R"),FN$18),"")</f>
        <v>30</v>
      </c>
      <c r="FO21" s="88"/>
      <c r="FP21" s="88"/>
      <c r="FQ21" s="88"/>
      <c r="FR21" s="285"/>
      <c r="FS21" s="285"/>
      <c r="FT21" s="285"/>
      <c r="FU21" s="285"/>
      <c r="FV21" s="285"/>
      <c r="FW21" s="285"/>
      <c r="FX21" s="285"/>
      <c r="FY21" s="285"/>
      <c r="FZ21" s="285"/>
      <c r="GA21" s="285"/>
      <c r="GB21" s="285"/>
      <c r="GC21" s="285"/>
      <c r="GD21" s="285"/>
      <c r="GE21" s="285"/>
      <c r="GF21" s="285"/>
      <c r="GG21" s="285"/>
      <c r="GH21" s="285"/>
      <c r="GI21" s="285"/>
      <c r="GJ21" s="285"/>
      <c r="GK21" s="285"/>
      <c r="GL21" s="285"/>
      <c r="GM21" s="285"/>
      <c r="GN21" s="285"/>
      <c r="GO21" s="285"/>
      <c r="GP21" s="285"/>
      <c r="GQ21" s="285"/>
      <c r="GR21" s="285"/>
      <c r="GS21" s="285"/>
      <c r="GT21" s="285"/>
      <c r="GU21" s="285"/>
      <c r="GV21" s="88"/>
      <c r="GW21" s="88">
        <f t="shared" ref="GW21" si="96">COUNTIF($EK21:$FN21,GW$18)</f>
        <v>0</v>
      </c>
      <c r="GX21" s="88">
        <f t="shared" si="29"/>
        <v>0</v>
      </c>
      <c r="GY21" s="88">
        <f t="shared" si="29"/>
        <v>0</v>
      </c>
      <c r="GZ21" s="88">
        <f t="shared" si="29"/>
        <v>0</v>
      </c>
      <c r="HA21" s="88">
        <f t="shared" si="29"/>
        <v>0</v>
      </c>
      <c r="HB21" s="88">
        <f t="shared" si="29"/>
        <v>0</v>
      </c>
      <c r="HC21" s="88"/>
      <c r="HD21" s="88" t="str">
        <f t="shared" ref="HD21" si="97">IF(AND($F21="Hybrid - Thrust + 2 connections",HD22=0,LEFT($J21,1)="C",LEFT($K21,1)="C",LEFT($L21,1)="C"),"X","")</f>
        <v/>
      </c>
      <c r="HE21" s="88"/>
      <c r="HF21" s="91"/>
      <c r="HG21" s="100"/>
      <c r="HH21" s="100"/>
      <c r="HI21" s="91" t="str">
        <f t="shared" ref="HI21" si="98">IF(E22=3,IF(_xlfn.NUMBERVALUE(LEFT(J21,1))&gt;0,_xlfn.NUMBERVALUE(LEFT(J21,1)),""),"")</f>
        <v/>
      </c>
      <c r="HK21" s="91" t="str">
        <f t="shared" ref="HK21" si="99">IF(OR(E22="B",E22="P"),E22,"")</f>
        <v/>
      </c>
      <c r="HL21" s="91" t="str">
        <f>IF(AND(J21&lt;&gt;"",HK21&lt;&gt;""),IF(HK21="B",MATCH(J21,AcroDD!$U$3:$AE$3,0),MATCH(J21,AcroDD!$U$30:$AC$30,0)),"")</f>
        <v/>
      </c>
      <c r="HM21" s="91" t="str">
        <f t="shared" ref="HM21" si="100">IF(AND(K21&lt;&gt;"",HK21&lt;&gt;""),K21,"")</f>
        <v/>
      </c>
      <c r="HN21" s="91" t="str">
        <f>_xlfn.LET(_xlpm.lista,IF(HK21="B",INDEX(AcroDD!$T$4:$AE$23,0,HL21+1),INDEX(AcroDD!$T$31:$AC$50,0,HL21+1)),IF(AND(OR(HK21="B",HK21="P"),HL21&lt;&gt;"",HM21&lt;&gt;""),IF(ISNUMBER(MATCH(HM21,_xlpm.lista,0)),"OK","X"),""))</f>
        <v/>
      </c>
    </row>
    <row r="22" spans="1:222" ht="12.75" customHeight="1" x14ac:dyDescent="0.35">
      <c r="A22" s="28"/>
      <c r="B22" s="29"/>
      <c r="C22" s="29"/>
      <c r="D22" s="29"/>
      <c r="E22" s="17" t="str">
        <f>IF(F21="Acrobatic - Pair","PA",IF(F21="Acrobatic Airborn","A",IF(F21="Acrobatic Balance","B",IF(F21="Acrobatic Combined","C",IF(F21="Acrobatic Platform","P",IF(F21="Technical Required Element",3,IF(LEFT(F21,4)="Hybr","H","")))))))</f>
        <v/>
      </c>
      <c r="F22" s="17" t="str">
        <f>IF(AND(F21="Hybrid - Thrust + 2 connections",CR21="X"),"Hybrid - Thrust",IF(OR(E22="A",E22="B",E22="C",E22="P"),"Acrobatic",""))</f>
        <v/>
      </c>
      <c r="G22" s="31"/>
      <c r="H22" s="182" t="str">
        <f t="shared" ref="H22" si="101">IF(E22="PA",IF(OR(LEFT(J21,1)="L",LEFT(J21,1)="S"),"A-Pair-Lift",IF(OR(LEFT(J21,1)="W",LEFT(J21,1)="T"),"A-Pair-Throw",IF(LEFT(J21,1)="J","A-Pair-Jump","A-Pair"))),IF(OR(E22="A",E22="B",E22="C",E22="P"),CONCATENATE("Acro-",E22),""))</f>
        <v/>
      </c>
      <c r="I22" s="176" t="e">
        <f>IF(OR(F21="Hybrid - Choreography (DD = 1)",LEFT(F21,5)="Trans"),0,INDEX($BY$3:$BY$9,MATCH(E22,$BX$3:$BX$9,0)))</f>
        <v>#N/A</v>
      </c>
      <c r="J22" s="171">
        <f ca="1">IFERROR(IF($H21="No DD",IF(J21="ChoHY",1,0),IF(OR(ISBLANK(J21),J21="N/A"),0,INDEX(INDIRECT(BI22),MATCH(J21,INDIRECT(BI21),0)))),0)</f>
        <v>0</v>
      </c>
      <c r="K22" s="171">
        <f t="shared" ref="K22:Y22" ca="1" si="102">IFERROR(IF($H21="No DD",0,IF(OR(ISBLANK(K21),K21="N/A"),0,INDEX(INDIRECT(BJ22),MATCH(K21,INDIRECT(BJ21),0)))),0)</f>
        <v>0</v>
      </c>
      <c r="L22" s="171">
        <f t="shared" ca="1" si="102"/>
        <v>0</v>
      </c>
      <c r="M22" s="171">
        <f t="shared" ca="1" si="102"/>
        <v>0</v>
      </c>
      <c r="N22" s="171">
        <f t="shared" ca="1" si="102"/>
        <v>0</v>
      </c>
      <c r="O22" s="171">
        <f t="shared" ca="1" si="102"/>
        <v>0</v>
      </c>
      <c r="P22" s="171">
        <f t="shared" ca="1" si="102"/>
        <v>0</v>
      </c>
      <c r="Q22" s="171">
        <f t="shared" ca="1" si="102"/>
        <v>0</v>
      </c>
      <c r="R22" s="171">
        <f t="shared" ca="1" si="102"/>
        <v>0</v>
      </c>
      <c r="S22" s="171">
        <f t="shared" ca="1" si="102"/>
        <v>0</v>
      </c>
      <c r="T22" s="171">
        <f t="shared" ca="1" si="102"/>
        <v>0</v>
      </c>
      <c r="U22" s="171">
        <f t="shared" ca="1" si="102"/>
        <v>0</v>
      </c>
      <c r="V22" s="171">
        <f t="shared" ca="1" si="102"/>
        <v>0</v>
      </c>
      <c r="W22" s="171">
        <f t="shared" ca="1" si="102"/>
        <v>0</v>
      </c>
      <c r="X22" s="171">
        <f t="shared" ca="1" si="102"/>
        <v>0</v>
      </c>
      <c r="Y22" s="171">
        <f t="shared" ca="1" si="102"/>
        <v>0</v>
      </c>
      <c r="Z22" s="171">
        <f t="shared" ref="Z22" ca="1" si="103">IFERROR(IF($H21="No DD",0,IF(OR(ISBLANK(Z21),Z21="N/A"),0,INDEX(INDIRECT(BY22),MATCH(Z21,INDIRECT(BY21),0)))),0)</f>
        <v>0</v>
      </c>
      <c r="AA22" s="171">
        <f t="shared" ref="AA22" ca="1" si="104">IFERROR(IF($H21="No DD",0,IF(OR(ISBLANK(AA21),AA21="N/A"),0,INDEX(INDIRECT(BZ22),MATCH(AA21,INDIRECT(BZ21),0)))),0)</f>
        <v>0</v>
      </c>
      <c r="AB22" s="171">
        <f t="shared" ref="AB22" ca="1" si="105">IFERROR(IF($H21="No DD",0,IF(OR(ISBLANK(AB21),AB21="N/A"),0,INDEX(INDIRECT(CA22),MATCH(AB21,INDIRECT(CA21),0)))),0)</f>
        <v>0</v>
      </c>
      <c r="AC22" s="171">
        <f t="shared" ref="AC22" ca="1" si="106">IFERROR(IF($H21="No DD",0,IF(OR(ISBLANK(AC21),AC21="N/A"),0,INDEX(INDIRECT(CB22),MATCH(AC21,INDIRECT(CB21),0)))),0)</f>
        <v>0</v>
      </c>
      <c r="AD22" s="171">
        <f t="shared" ref="AD22" ca="1" si="107">IFERROR(IF($H21="No DD",0,IF(OR(ISBLANK(AD21),AD21="N/A"),0,INDEX(INDIRECT(CC22),MATCH(AD21,INDIRECT(CC21),0)))),0)</f>
        <v>0</v>
      </c>
      <c r="AE22" s="171">
        <f t="shared" ref="AE22" ca="1" si="108">IFERROR(IF($H21="No DD",0,IF(OR(ISBLANK(AE21),AE21="N/A"),0,INDEX(INDIRECT(CD22),MATCH(AE21,INDIRECT(CD21),0)))),0)</f>
        <v>0</v>
      </c>
      <c r="AF22" s="171">
        <f t="shared" ref="AF22" ca="1" si="109">IFERROR(IF($H21="No DD",0,IF(OR(ISBLANK(AF21),AF21="N/A"),0,INDEX(INDIRECT(CE22),MATCH(AF21,INDIRECT(CE21),0)))),0)</f>
        <v>0</v>
      </c>
      <c r="AG22" s="171">
        <f t="shared" ref="AG22" ca="1" si="110">IFERROR(IF($H21="No DD",0,IF(OR(ISBLANK(AG21),AG21="N/A"),0,INDEX(INDIRECT(CF22),MATCH(AG21,INDIRECT(CF21),0)))),0)</f>
        <v>0</v>
      </c>
      <c r="AH22" s="171">
        <f t="shared" ref="AH22" ca="1" si="111">IFERROR(IF($H21="No DD",0,IF(OR(ISBLANK(AH21),AH21="N/A"),0,INDEX(INDIRECT(CG22),MATCH(AH21,INDIRECT(CG21),0)))),0)</f>
        <v>0</v>
      </c>
      <c r="AI22" s="171">
        <f t="shared" ref="AI22" ca="1" si="112">IFERROR(IF($H21="No DD",0,IF(OR(ISBLANK(AI21),AI21="N/A"),0,INDEX(INDIRECT(CH22),MATCH(AI21,INDIRECT(CH21),0)))),0)</f>
        <v>0</v>
      </c>
      <c r="AJ22" s="171">
        <f t="shared" ref="AJ22" ca="1" si="113">IFERROR(IF($H21="No DD",0,IF(OR(ISBLANK(AJ21),AJ21="N/A"),0,INDEX(INDIRECT(CI22),MATCH(AJ21,INDIRECT(CI21),0)))),0)</f>
        <v>0</v>
      </c>
      <c r="AK22" s="171">
        <f t="shared" ref="AK22" ca="1" si="114">IFERROR(IF($H21="No DD",0,IF(OR(ISBLANK(AK21),AK21="N/A"),0,INDEX(INDIRECT(CJ22),MATCH(AK21,INDIRECT(CJ21),0)))),0)</f>
        <v>0</v>
      </c>
      <c r="AL22" s="171">
        <f t="shared" ref="AL22" ca="1" si="115">IFERROR(IF($H21="No DD",0,IF(OR(ISBLANK(AL21),AL21="N/A"),0,INDEX(INDIRECT(CK22),MATCH(AL21,INDIRECT(CK21),0)))),0)</f>
        <v>0</v>
      </c>
      <c r="AM22" s="171">
        <f t="shared" ref="AM22" ca="1" si="116">IFERROR(IF($H21="No DD",0,IF(OR(ISBLANK(AM21),AM21="N/A"),0,INDEX(INDIRECT(CL22),MATCH(AM21,INDIRECT(CL21),0)))),0)</f>
        <v>0</v>
      </c>
      <c r="AN22" s="172" t="str">
        <f>IFERROR(IF(E22="H",INDEX(HybridBonus_Value,MATCH(AN21,HybridBonus_Code,0)),""),"")</f>
        <v/>
      </c>
      <c r="AO22" s="276" t="str">
        <f t="shared" ref="AO22" si="117">IFERROR(SUM(I22:AN22),"")</f>
        <v/>
      </c>
      <c r="AP22" s="62"/>
      <c r="AQ22" s="62"/>
      <c r="AR22" s="101"/>
      <c r="AS22" s="101"/>
      <c r="AT22" s="101"/>
      <c r="AU22" s="101"/>
      <c r="AV22" s="101"/>
      <c r="BA22" s="90"/>
      <c r="BB22" s="101"/>
      <c r="BC22" s="101"/>
      <c r="BD22" s="101"/>
      <c r="BE22" s="101"/>
      <c r="BF22" s="101"/>
      <c r="BG22" s="90"/>
      <c r="BH22" s="101"/>
      <c r="BI22" s="91" t="str">
        <f t="shared" ref="BI22" si="118">IF($E22="H",IF($F21="Hybrid - Thrust + 2 connections","Hybrid_Mix_Req_Value","HybridDD_Value"),IF($E22=3,"TreDD_Value",IF($E22="PA","AcroPair_Value",IF(LEFT($F21,4)="Acro",CONCATENATE(BI$16,$E22,"_Value"),""))))</f>
        <v/>
      </c>
      <c r="BJ22" s="91" t="str">
        <f t="shared" ref="BJ22" si="119">IF($E22="H",IF($F21="Hybrid - Thrust + 2 connections","Hybrid_Mix_Req_Value","HybridDD_Value"),IF($E22=3,"TreDD_Value",IF($E22="PA","AcroPair_Value",IF(LEFT($F21,4)="Acro",CONCATENATE(BJ$16,$E22,"_Value"),""))))</f>
        <v/>
      </c>
      <c r="BK22" s="91" t="str">
        <f t="shared" ref="BK22" si="120">IF($E22="H",IF($F21="Hybrid - Thrust + 2 connections","Hybrid_Mix_Req_Value","HybridDD_Value"),IF($E22=3,"TreDD_Value",IF($E22="PA","AcroPair_Value",IF(LEFT($F21,4)="Acro",CONCATENATE(BK$16,$E22,"_Value"),""))))</f>
        <v/>
      </c>
      <c r="BL22" s="91" t="str">
        <f t="shared" ref="BL22" si="121">IF($E22="H",IF($F21="Hybrid - Thrust + 2 connections","Hybrid_Mix_Req_Value","HybridDD_Value"),IF($E22=3,"TreDD_Value",IF($E22="PA","AcroPair_Value",IF(LEFT($F21,4)="Acro",CONCATENATE(BL$16,$E22,"_Value"),""))))</f>
        <v/>
      </c>
      <c r="BM22" s="91" t="str">
        <f t="shared" ref="BM22" si="122">IF($E22="H",IF($F21="Hybrid - Thrust + 2 connections","Hybrid_Mix_Req_Value","HybridDD_Value"),IF($E22=3,"TreDD_Value",IF($E22="PA","AcroPair_Value",IF(LEFT($F21,4)="Acro",CONCATENATE(BM$16,$E22,"_Value"),""))))</f>
        <v/>
      </c>
      <c r="BN22" s="91" t="str">
        <f t="shared" ref="BN22" si="123">IF($E22="H",IF($F21="Hybrid - Thrust + 2 connections","Hybrid_Mix_Req_Value","HybridDD_Value"),IF($E22=3,"TreDD_Value",IF($E22="PA","AcroPair_Value",IF(LEFT($F21,4)="Acro",CONCATENATE(BN$16,$E22,"_Value"),""))))</f>
        <v/>
      </c>
      <c r="BO22" s="91" t="str">
        <f t="shared" ref="BO22" si="124">IF($E22="H",IF($F21="Hybrid - Thrust + 2 connections","Hybrid_Mix_Req_Value","HybridDD_Value"),IF($E22=3,"TreDD_Value",IF($E22="PA","AcroPair_Value",IF(LEFT($F21,4)="Acro",CONCATENATE(BO$16,$E22,"_Value"),""))))</f>
        <v/>
      </c>
      <c r="BP22" s="91" t="str">
        <f t="shared" ref="BP22" si="125">IF($E22="H",IF($F21="Hybrid - Thrust + 2 connections","Hybrid_Mix_Req_Value","HybridDD_Value"),IF($E22=3,"TreDD_Value",IF($E22="PA","AcroPair_Value",IF(LEFT($F21,4)="Acro",CONCATENATE(BP$16,$E22,"_Value"),""))))</f>
        <v/>
      </c>
      <c r="BQ22" s="91" t="str">
        <f t="shared" ref="BQ22" si="126">IF($E22="H",IF($F21="Hybrid - Thrust + 2 connections","Hybrid_Mix_Req_Value","HybridDD_Value"),IF($E22=3,"TreDD_Value",IF($E22="PA","AcroPair_Value",IF(LEFT($F21,4)="Acro",CONCATENATE(BQ$16,$E22,"_Value"),""))))</f>
        <v/>
      </c>
      <c r="BR22" s="90" t="str">
        <f t="shared" ref="BR22" si="127">IF($E22="H",IF($F21="Hybrid - Thrust + 2 connections","Data!$BI$1:$BI$5","HybridDD_Value"),"Data!$BI$1:$BI$5")</f>
        <v>Data!$BI$1:$BI$5</v>
      </c>
      <c r="BS22" s="90" t="str">
        <f t="shared" ref="BS22" si="128">IF($E22="H",IF($F21="Hybrid - Thrust + 2 connections","Data!$BI$1:$BI$5","HybridDD_Value"),"Data!$BI$1:$BI$5")</f>
        <v>Data!$BI$1:$BI$5</v>
      </c>
      <c r="BT22" s="90" t="str">
        <f t="shared" ref="BT22" si="129">IF($E22="H",IF($F21="Hybrid - Thrust + 2 connections","Data!$BI$1:$BI$5","HybridDD_Value"),"Data!$BI$1:$BI$5")</f>
        <v>Data!$BI$1:$BI$5</v>
      </c>
      <c r="BU22" s="90" t="str">
        <f t="shared" ref="BU22" si="130">IF($E22="H",IF($F21="Hybrid - Thrust + 2 connections","Data!$BI$1:$BI$5","HybridDD_Value"),"Data!$BI$1:$BI$5")</f>
        <v>Data!$BI$1:$BI$5</v>
      </c>
      <c r="BV22" s="90" t="str">
        <f t="shared" ref="BV22" si="131">IF($E22="H",IF($F21="Hybrid - Thrust + 2 connections","Data!$BI$1:$BI$5","HybridDD_Value"),"Data!$BI$1:$BI$5")</f>
        <v>Data!$BI$1:$BI$5</v>
      </c>
      <c r="BW22" s="90" t="str">
        <f t="shared" ref="BW22" si="132">IF($E22="H",IF($F21="Hybrid - Thrust + 2 connections","Data!$BI$1:$BI$5","HybridDD_Value"),"Data!$BI$1:$BI$5")</f>
        <v>Data!$BI$1:$BI$5</v>
      </c>
      <c r="BX22" s="90" t="str">
        <f t="shared" ref="BX22" si="133">IF($E22="H",IF($F21="Hybrid - Thrust + 2 connections","Data!$BI$1:$BI$5","HybridDD_Value"),"Data!$BI$1:$BI$5")</f>
        <v>Data!$BI$1:$BI$5</v>
      </c>
      <c r="BY22" s="90" t="str">
        <f t="shared" ref="BY22" si="134">IF($E22="H",IF($F21="Hybrid - Thrust + 2 connections","Data!$BI$1:$BI$5","HybridDD_Value"),"Data!$BI$1:$BI$5")</f>
        <v>Data!$BI$1:$BI$5</v>
      </c>
      <c r="BZ22" s="90" t="str">
        <f t="shared" ref="BZ22" si="135">IF($E22="H",IF($F21="Hybrid - Thrust + 2 connections","Data!$BI$1:$BI$5","HybridDD_Value"),"Data!$BI$1:$BI$5")</f>
        <v>Data!$BI$1:$BI$5</v>
      </c>
      <c r="CA22" s="90" t="str">
        <f t="shared" ref="CA22" si="136">IF($E22="H",IF($F21="Hybrid - Thrust + 2 connections","Data!$BI$1:$BI$5","HybridDD_Value"),"Data!$BI$1:$BI$5")</f>
        <v>Data!$BI$1:$BI$5</v>
      </c>
      <c r="CB22" s="90" t="str">
        <f t="shared" ref="CB22" si="137">IF($E22="H",IF($F21="Hybrid - Thrust + 2 connections","Data!$BI$1:$BI$5","HybridDD_Value"),"Data!$BI$1:$BI$5")</f>
        <v>Data!$BI$1:$BI$5</v>
      </c>
      <c r="CC22" s="90" t="str">
        <f t="shared" ref="CC22" si="138">IF($E22="H",IF($F21="Hybrid - Thrust + 2 connections","Data!$BI$1:$BI$5","HybridDD_Value"),"Data!$BI$1:$BI$5")</f>
        <v>Data!$BI$1:$BI$5</v>
      </c>
      <c r="CD22" s="90" t="str">
        <f t="shared" ref="CD22" si="139">IF($E22="H",IF($F21="Hybrid - Thrust + 2 connections","Data!$BI$1:$BI$5","HybridDD_Value"),"Data!$BI$1:$BI$5")</f>
        <v>Data!$BI$1:$BI$5</v>
      </c>
      <c r="CE22" s="90" t="str">
        <f t="shared" ref="CE22" si="140">IF($E22="H",IF($F21="Hybrid - Thrust + 2 connections","Data!$BI$1:$BI$5","HybridDD_Value"),"Data!$BI$1:$BI$5")</f>
        <v>Data!$BI$1:$BI$5</v>
      </c>
      <c r="CF22" s="90" t="str">
        <f t="shared" ref="CF22" si="141">IF($E22="H",IF($F21="Hybrid - Thrust + 2 connections","Data!$BI$1:$BI$5","HybridDD_Value"),"Data!$BI$1:$BI$5")</f>
        <v>Data!$BI$1:$BI$5</v>
      </c>
      <c r="CG22" s="90" t="str">
        <f t="shared" ref="CG22" si="142">IF($E22="H",IF($F21="Hybrid - Thrust + 2 connections","Data!$BI$1:$BI$5","HybridDD_Value"),"Data!$BI$1:$BI$5")</f>
        <v>Data!$BI$1:$BI$5</v>
      </c>
      <c r="CH22" s="90" t="str">
        <f t="shared" ref="CH22" si="143">IF($E22="H",IF($F21="Hybrid - Thrust + 2 connections","Data!$BI$1:$BI$5","HybridDD_Value"),"Data!$BI$1:$BI$5")</f>
        <v>Data!$BI$1:$BI$5</v>
      </c>
      <c r="CI22" s="90" t="str">
        <f t="shared" ref="CI22" si="144">IF($E22="H",IF($F21="Hybrid - Thrust + 2 connections","Data!$BI$1:$BI$5","HybridDD_Value"),"Data!$BI$1:$BI$5")</f>
        <v>Data!$BI$1:$BI$5</v>
      </c>
      <c r="CJ22" s="90" t="str">
        <f t="shared" ref="CJ22" si="145">IF($E22="H",IF($F21="Hybrid - Thrust + 2 connections","Data!$BI$1:$BI$5","HybridDD_Value"),"Data!$BI$1:$BI$5")</f>
        <v>Data!$BI$1:$BI$5</v>
      </c>
      <c r="CK22" s="90" t="str">
        <f t="shared" ref="CK22" si="146">IF($E22="H",IF($F21="Hybrid - Thrust + 2 connections","Data!$BI$1:$BI$5","HybridDD_Value"),"Data!$BI$1:$BI$5")</f>
        <v>Data!$BI$1:$BI$5</v>
      </c>
      <c r="CL22" s="90" t="str">
        <f t="shared" ref="CL22" si="147">IF($E22="H",IF($F21="Hybrid - Thrust + 2 connections","Data!$BI$1:$BI$5","HybridDD_Value"),"Data!$BI$1:$BI$5")</f>
        <v>Data!$BI$1:$BI$5</v>
      </c>
      <c r="CM22" s="101"/>
      <c r="CN22" s="101"/>
      <c r="CO22" s="102" t="str">
        <f>IFERROR(IF(AND($BV$6="T",$BV$8="T",LEFT(F21,4)="Acro",AO22&gt;3),"X",IF($N$7="X",IF(AND(E22="C",AO22&gt;$CN$6),"X",IF(AND(E22="A",AO22&gt;$CN$4),"X",IF(AND(E22="B",AO22&gt;$CN$5),"X",IF(AND(E22="P",AO22&gt;$CN$7),"X","")))),"")),"")</f>
        <v/>
      </c>
      <c r="CP22" s="94"/>
      <c r="CQ22" s="91"/>
      <c r="CS22" s="91"/>
      <c r="CT22" s="91"/>
      <c r="CU22" s="91"/>
      <c r="CV22" s="91"/>
      <c r="CW22" s="91"/>
      <c r="CX22" s="91"/>
      <c r="CY22" s="91"/>
      <c r="CZ22" s="91"/>
      <c r="DD22" s="88" t="str">
        <f t="shared" si="10"/>
        <v/>
      </c>
      <c r="DE22" s="88" t="str">
        <f t="shared" si="11"/>
        <v/>
      </c>
      <c r="DF22" s="88" t="str">
        <f t="shared" si="12"/>
        <v/>
      </c>
      <c r="DG22" s="88" t="str">
        <f t="shared" si="13"/>
        <v/>
      </c>
      <c r="DO22" s="88">
        <v>4</v>
      </c>
      <c r="ED22" s="88" t="str">
        <f t="shared" si="14"/>
        <v/>
      </c>
      <c r="EE22" s="88" t="str">
        <f t="shared" si="15"/>
        <v/>
      </c>
      <c r="EI22" s="88" t="str" cm="1">
        <f t="array" ref="EI22">IFERROR(INDEX(EK22:FN22,MATCH(TRUE,INDEX((EK22:FN22&lt;&gt;""),),0)),"")</f>
        <v/>
      </c>
      <c r="EK22" s="88" t="str">
        <f t="shared" ref="EK22" si="148">IF(F21="Hybrid - Thrust + 2 connections",IF(COUNTIF($EK21:$FN21,EK21)&gt;1,EK21,""),IF(COUNTIF($EK21:$FN21,EK21)&gt;5,EK21,""))</f>
        <v/>
      </c>
      <c r="EL22" s="88" t="str">
        <f t="shared" ref="EL22" si="149">IF(G21="Hybrid - Thrust + 2 connections",IF(COUNTIF($EK21:$FN21,EL21)&gt;1,EL21,""),IF(COUNTIF($EK21:$FN21,EL21)&gt;5,EL21,""))</f>
        <v/>
      </c>
      <c r="EM22" s="88" t="str">
        <f t="shared" ref="EM22" si="150">IF(H21="Hybrid - Thrust + 2 connections",IF(COUNTIF($EK21:$FN21,EM21)&gt;1,EM21,""),IF(COUNTIF($EK21:$FN21,EM21)&gt;5,EM21,""))</f>
        <v/>
      </c>
      <c r="EN22" s="88" t="str">
        <f t="shared" ref="EN22" si="151">IF(I21="Hybrid - Thrust + 2 connections",IF(COUNTIF($EK21:$FN21,EN21)&gt;1,EN21,""),IF(COUNTIF($EK21:$FN21,EN21)&gt;5,EN21,""))</f>
        <v/>
      </c>
      <c r="EO22" s="88" t="str">
        <f t="shared" ref="EO22" si="152">IF(J21="Hybrid - Thrust + 2 connections",IF(COUNTIF($EK21:$FN21,EO21)&gt;1,EO21,""),IF(COUNTIF($EK21:$FN21,EO21)&gt;5,EO21,""))</f>
        <v/>
      </c>
      <c r="EP22" s="88" t="str">
        <f t="shared" ref="EP22" si="153">IF(K21="Hybrid - Thrust + 2 connections",IF(COUNTIF($EK21:$FN21,EP21)&gt;1,EP21,""),IF(COUNTIF($EK21:$FN21,EP21)&gt;5,EP21,""))</f>
        <v/>
      </c>
      <c r="EQ22" s="88" t="str">
        <f t="shared" ref="EQ22" si="154">IF(L21="Hybrid - Thrust + 2 connections",IF(COUNTIF($EK21:$FN21,EQ21)&gt;1,EQ21,""),IF(COUNTIF($EK21:$FN21,EQ21)&gt;5,EQ21,""))</f>
        <v/>
      </c>
      <c r="ER22" s="88" t="str">
        <f t="shared" ref="ER22" si="155">IF(M21="Hybrid - Thrust + 2 connections",IF(COUNTIF($EK21:$FN21,ER21)&gt;1,ER21,""),IF(COUNTIF($EK21:$FN21,ER21)&gt;5,ER21,""))</f>
        <v/>
      </c>
      <c r="ES22" s="88" t="str">
        <f t="shared" ref="ES22" si="156">IF(N21="Hybrid - Thrust + 2 connections",IF(COUNTIF($EK21:$FN21,ES21)&gt;1,ES21,""),IF(COUNTIF($EK21:$FN21,ES21)&gt;5,ES21,""))</f>
        <v/>
      </c>
      <c r="ET22" s="88" t="str">
        <f t="shared" ref="ET22" si="157">IF(O21="Hybrid - Thrust + 2 connections",IF(COUNTIF($EK21:$FN21,ET21)&gt;1,ET21,""),IF(COUNTIF($EK21:$FN21,ET21)&gt;5,ET21,""))</f>
        <v/>
      </c>
      <c r="EU22" s="88" t="str">
        <f t="shared" ref="EU22" si="158">IF(P21="Hybrid - Thrust + 2 connections",IF(COUNTIF($EK21:$FN21,EU21)&gt;1,EU21,""),IF(COUNTIF($EK21:$FN21,EU21)&gt;5,EU21,""))</f>
        <v/>
      </c>
      <c r="EV22" s="88" t="str">
        <f t="shared" ref="EV22" si="159">IF(Q21="Hybrid - Thrust + 2 connections",IF(COUNTIF($EK21:$FN21,EV21)&gt;1,EV21,""),IF(COUNTIF($EK21:$FN21,EV21)&gt;5,EV21,""))</f>
        <v/>
      </c>
      <c r="EW22" s="88" t="str">
        <f t="shared" ref="EW22" si="160">IF(R21="Hybrid - Thrust + 2 connections",IF(COUNTIF($EK21:$FN21,EW21)&gt;1,EW21,""),IF(COUNTIF($EK21:$FN21,EW21)&gt;5,EW21,""))</f>
        <v/>
      </c>
      <c r="EX22" s="88" t="str">
        <f t="shared" ref="EX22" si="161">IF(S21="Hybrid - Thrust + 2 connections",IF(COUNTIF($EK21:$FN21,EX21)&gt;1,EX21,""),IF(COUNTIF($EK21:$FN21,EX21)&gt;5,EX21,""))</f>
        <v/>
      </c>
      <c r="EY22" s="88" t="str">
        <f t="shared" ref="EY22" si="162">IF(T21="Hybrid - Thrust + 2 connections",IF(COUNTIF($EK21:$FN21,EY21)&gt;1,EY21,""),IF(COUNTIF($EK21:$FN21,EY21)&gt;5,EY21,""))</f>
        <v/>
      </c>
      <c r="EZ22" s="88" t="str">
        <f t="shared" ref="EZ22" si="163">IF(U21="Hybrid - Thrust + 2 connections",IF(COUNTIF($EK21:$FN21,EZ21)&gt;1,EZ21,""),IF(COUNTIF($EK21:$FN21,EZ21)&gt;5,EZ21,""))</f>
        <v/>
      </c>
      <c r="FA22" s="88" t="str">
        <f t="shared" ref="FA22" si="164">IF(V21="Hybrid - Thrust + 2 connections",IF(COUNTIF($EK21:$FN21,FA21)&gt;1,FA21,""),IF(COUNTIF($EK21:$FN21,FA21)&gt;5,FA21,""))</f>
        <v/>
      </c>
      <c r="FB22" s="88" t="str">
        <f t="shared" ref="FB22" si="165">IF(W21="Hybrid - Thrust + 2 connections",IF(COUNTIF($EK21:$FN21,FB21)&gt;1,FB21,""),IF(COUNTIF($EK21:$FN21,FB21)&gt;5,FB21,""))</f>
        <v/>
      </c>
      <c r="FC22" s="88" t="str">
        <f t="shared" ref="FC22" si="166">IF(X21="Hybrid - Thrust + 2 connections",IF(COUNTIF($EK21:$FN21,FC21)&gt;1,FC21,""),IF(COUNTIF($EK21:$FN21,FC21)&gt;5,FC21,""))</f>
        <v/>
      </c>
      <c r="FD22" s="88" t="str">
        <f t="shared" ref="FD22" si="167">IF(Y21="Hybrid - Thrust + 2 connections",IF(COUNTIF($EK21:$FN21,FD21)&gt;1,FD21,""),IF(COUNTIF($EK21:$FN21,FD21)&gt;5,FD21,""))</f>
        <v/>
      </c>
      <c r="FE22" s="88" t="str">
        <f t="shared" ref="FE22" si="168">IF(Z21="Hybrid - Thrust + 2 connections",IF(COUNTIF($EK21:$FN21,FE21)&gt;1,FE21,""),IF(COUNTIF($EK21:$FN21,FE21)&gt;5,FE21,""))</f>
        <v/>
      </c>
      <c r="FF22" s="88" t="str">
        <f t="shared" ref="FF22" si="169">IF(AA21="Hybrid - Thrust + 2 connections",IF(COUNTIF($EK21:$FN21,FF21)&gt;1,FF21,""),IF(COUNTIF($EK21:$FN21,FF21)&gt;5,FF21,""))</f>
        <v/>
      </c>
      <c r="FG22" s="88" t="str">
        <f t="shared" ref="FG22" si="170">IF(AB21="Hybrid - Thrust + 2 connections",IF(COUNTIF($EK21:$FN21,FG21)&gt;1,FG21,""),IF(COUNTIF($EK21:$FN21,FG21)&gt;5,FG21,""))</f>
        <v/>
      </c>
      <c r="FH22" s="88" t="str">
        <f t="shared" ref="FH22" si="171">IF(AC21="Hybrid - Thrust + 2 connections",IF(COUNTIF($EK21:$FN21,FH21)&gt;1,FH21,""),IF(COUNTIF($EK21:$FN21,FH21)&gt;5,FH21,""))</f>
        <v/>
      </c>
      <c r="FI22" s="88" t="str">
        <f t="shared" ref="FI22" si="172">IF(AD21="Hybrid - Thrust + 2 connections",IF(COUNTIF($EK21:$FN21,FI21)&gt;1,FI21,""),IF(COUNTIF($EK21:$FN21,FI21)&gt;5,FI21,""))</f>
        <v/>
      </c>
      <c r="FJ22" s="88" t="str">
        <f t="shared" ref="FJ22" si="173">IF(AE21="Hybrid - Thrust + 2 connections",IF(COUNTIF($EK21:$FN21,FJ21)&gt;1,FJ21,""),IF(COUNTIF($EK21:$FN21,FJ21)&gt;5,FJ21,""))</f>
        <v/>
      </c>
      <c r="FK22" s="88" t="str">
        <f t="shared" ref="FK22" si="174">IF(AF21="Hybrid - Thrust + 2 connections",IF(COUNTIF($EK21:$FN21,FK21)&gt;1,FK21,""),IF(COUNTIF($EK21:$FN21,FK21)&gt;5,FK21,""))</f>
        <v/>
      </c>
      <c r="FL22" s="88" t="str">
        <f t="shared" ref="FL22" si="175">IF(AG21="Hybrid - Thrust + 2 connections",IF(COUNTIF($EK21:$FN21,FL21)&gt;1,FL21,""),IF(COUNTIF($EK21:$FN21,FL21)&gt;5,FL21,""))</f>
        <v/>
      </c>
      <c r="FM22" s="88" t="str">
        <f t="shared" ref="FM22" si="176">IF(AH21="Hybrid - Thrust + 2 connections",IF(COUNTIF($EK21:$FN21,FM21)&gt;1,FM21,""),IF(COUNTIF($EK21:$FN21,FM21)&gt;5,FM21,""))</f>
        <v/>
      </c>
      <c r="FN22" s="88" t="str">
        <f t="shared" ref="FN22" si="177">IF(AI21="Hybrid - Thrust + 2 connections",IF(COUNTIF($EK21:$FN21,FN21)&gt;1,FN21,""),IF(COUNTIF($EK21:$FN21,FN21)&gt;5,FN21,""))</f>
        <v/>
      </c>
      <c r="FO22" s="88">
        <f>FO20+5</f>
        <v>5</v>
      </c>
      <c r="FP22" s="88" t="str" cm="1">
        <f t="array" ref="FP22">IF(FQ22&lt;&gt;"",LEFT(FQ22,FIND("*",FQ22)-1),INDEX($FP$75:$FP$172,FO22+1))</f>
        <v/>
      </c>
      <c r="FQ22" s="88" t="str" cm="1">
        <f t="array" ref="FQ22">INDEX($FQ$75:$FQ$172,FO22+1)</f>
        <v/>
      </c>
      <c r="FR22" s="285"/>
      <c r="FS22" s="285"/>
      <c r="FT22" s="285"/>
      <c r="FU22" s="285"/>
      <c r="FV22" s="285"/>
      <c r="FW22" s="285"/>
      <c r="FX22" s="285"/>
      <c r="FY22" s="285"/>
      <c r="FZ22" s="285"/>
      <c r="GA22" s="285"/>
      <c r="GB22" s="285"/>
      <c r="GC22" s="285"/>
      <c r="GD22" s="285"/>
      <c r="GE22" s="285"/>
      <c r="GF22" s="285"/>
      <c r="GG22" s="285"/>
      <c r="GH22" s="285"/>
      <c r="GI22" s="285"/>
      <c r="GJ22" s="285"/>
      <c r="GK22" s="285"/>
      <c r="GL22" s="285"/>
      <c r="GM22" s="285"/>
      <c r="GN22" s="285"/>
      <c r="GO22" s="285"/>
      <c r="GP22" s="285"/>
      <c r="GQ22" s="285"/>
      <c r="GR22" s="285"/>
      <c r="GS22" s="285"/>
      <c r="GT22" s="285"/>
      <c r="GU22" s="285"/>
      <c r="GV22" s="88"/>
      <c r="GW22" s="88"/>
      <c r="GX22" s="88"/>
      <c r="GY22" s="88"/>
      <c r="GZ22" s="88"/>
      <c r="HA22" s="88"/>
      <c r="HB22" s="88"/>
      <c r="HC22" s="88"/>
      <c r="HD22" s="88" t="str">
        <f>IF($F21="Hybrid - Thrust + 2 connections",COUNTBLANK(J21:L21),"")</f>
        <v/>
      </c>
      <c r="HE22" s="88"/>
      <c r="HF22" s="91"/>
      <c r="HG22" s="91"/>
      <c r="HH22" s="91"/>
      <c r="HI22" s="91"/>
    </row>
    <row r="23" spans="1:222" ht="12.75" customHeight="1" x14ac:dyDescent="0.35">
      <c r="A23" s="28" t="str">
        <f>IF(AND(E21="",A21&lt;&gt;""),IF(CP21=$CP$18,"",IF(C21&lt;&gt;"",IF(D21=59,MINUTE(CP21)+1,MINUTE(CP21)),"")),"")</f>
        <v/>
      </c>
      <c r="B23" s="29" t="str">
        <f>IF(AND(E21="",B21&lt;&gt;""),IF(CP21=$CP$18,"",IF(C21&lt;&gt;"",IF(D21=59,0,SECOND(CP21)+1),"")),"")</f>
        <v/>
      </c>
      <c r="C23" s="39"/>
      <c r="D23" s="39"/>
      <c r="E23" s="9"/>
      <c r="F23" s="40"/>
      <c r="G23" s="31" t="str">
        <f>IF(F23&lt;&gt;"",IF(OR(F23="Transition",F23="Transition - Surface Connection"),0,MAX($G$19:G22)+1),"")</f>
        <v/>
      </c>
      <c r="H23" s="43" t="str">
        <f>IFERROR(IF(E24="3","",IF(OR(F23="Hybrid - Choreography (DD = 1)",LEFT(F23,5)="Trans"),"No DD",CONCATENATE("BM = ",I24))),"")</f>
        <v/>
      </c>
      <c r="I23" s="44"/>
      <c r="J23" s="109"/>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58"/>
      <c r="AO23" s="32"/>
      <c r="AP23" s="61"/>
      <c r="AQ23" s="61"/>
      <c r="AR23" s="90"/>
      <c r="AS23" s="90"/>
      <c r="AT23" s="90"/>
      <c r="AU23" s="90"/>
      <c r="AV23" s="90"/>
      <c r="AW23" s="91" t="str">
        <f t="shared" ref="AW23" si="178">E24</f>
        <v/>
      </c>
      <c r="AX23" s="94" t="str">
        <f t="shared" ref="AX23" si="179">IF(AY23=0,"",TIME(0,A23,B23))</f>
        <v/>
      </c>
      <c r="AY23" s="94">
        <f t="shared" ref="AY23" si="180">TIME(0,C23,D23)</f>
        <v>0</v>
      </c>
      <c r="AZ23" s="94" t="str">
        <f t="shared" ref="AZ23" si="181">IFERROR(AY23-AX23,"")</f>
        <v/>
      </c>
      <c r="BA23" s="237" t="str">
        <f t="shared" ref="BA23" si="182">IF($AX$17=0,"",IF(AND($C$10&lt;&gt;"",AW23="H",AZ23&gt;$AX$17),"X",""))</f>
        <v/>
      </c>
      <c r="BB23" s="90"/>
      <c r="BC23" s="90"/>
      <c r="BD23" s="90"/>
      <c r="BE23" s="90"/>
      <c r="BF23" s="90"/>
      <c r="BG23" s="90" t="str">
        <f>IFERROR(IF(F23&lt;&gt;"",INDEX(Parts_Active,MATCH(F23,Parts_Active,0)),""),"No")</f>
        <v/>
      </c>
      <c r="BH23" s="90"/>
      <c r="BI23" s="90" t="str">
        <f>IF($E24="H",IF($F23="Hybrid - Thrust + 2 connections","Hybrid_Mix_Req",IF($F23="Hybrid - Choreography (DD = 1)","Hybrid_ChoHY","HybridDD_Code")),IF($E24=3,"TreDD_Code",IF($E24="PA","AcroPair_Code",IF(LEFT($F23,4)="Acro",CONCATENATE(BI$16,$E24,"_Code"),"Data!$BI$1:$BI$5"))))</f>
        <v>Data!$BI$1:$BI$5</v>
      </c>
      <c r="BJ23" s="90" t="str">
        <f t="shared" ref="BJ23" si="183">IF($E24="H",IF($F23="Hybrid - Thrust + 2 connections","Hybrid_Mix_Req",IF($F23="Hybrid - min 4 swimmers (no DD)","Data!$BI$1:$BI$5","HybridDD_Code")),IF($E24=3,"TreDD_Code",IF($E24="PA","AcroPair_Code",IF(LEFT($F23,4)="Acro",CONCATENATE(BJ$16,$E24,"_Code"),"Data!$BI$1:$BI$5"))))</f>
        <v>Data!$BI$1:$BI$5</v>
      </c>
      <c r="BK23" s="90" t="str">
        <f t="shared" si="6"/>
        <v>Data!$BI$1:$BI$5</v>
      </c>
      <c r="BL23" s="90" t="str">
        <f t="shared" si="6"/>
        <v>Data!$BI$1:$BI$5</v>
      </c>
      <c r="BM23" s="90" t="str">
        <f t="shared" si="6"/>
        <v>Data!$BI$1:$BI$5</v>
      </c>
      <c r="BN23" s="90" t="str">
        <f t="shared" si="6"/>
        <v>Data!$BI$1:$BI$5</v>
      </c>
      <c r="BO23" s="90" t="str">
        <f t="shared" si="6"/>
        <v>Data!$BI$1:$BI$5</v>
      </c>
      <c r="BP23" s="90" t="str">
        <f t="shared" si="6"/>
        <v>Data!$BI$1:$BI$5</v>
      </c>
      <c r="BQ23" s="90" t="str">
        <f t="shared" si="6"/>
        <v>Data!$BI$1:$BI$5</v>
      </c>
      <c r="BR23" s="90" t="str">
        <f t="shared" ref="BR23" si="184">IF($E24="H",IF($F23="Hybrid - Thrust + 2 connections","Data!$BI$1:$BI$5","HybridDD_Code"),"Data!$BI$1:$BI$5")</f>
        <v>Data!$BI$1:$BI$5</v>
      </c>
      <c r="BS23" s="90" t="str">
        <f t="shared" si="7"/>
        <v>Data!$BI$1:$BI$5</v>
      </c>
      <c r="BT23" s="90" t="str">
        <f t="shared" si="7"/>
        <v>Data!$BI$1:$BI$5</v>
      </c>
      <c r="BU23" s="90" t="str">
        <f t="shared" si="7"/>
        <v>Data!$BI$1:$BI$5</v>
      </c>
      <c r="BV23" s="90" t="str">
        <f t="shared" si="7"/>
        <v>Data!$BI$1:$BI$5</v>
      </c>
      <c r="BW23" s="90" t="str">
        <f t="shared" si="7"/>
        <v>Data!$BI$1:$BI$5</v>
      </c>
      <c r="BX23" s="90" t="str">
        <f t="shared" si="7"/>
        <v>Data!$BI$1:$BI$5</v>
      </c>
      <c r="BY23" s="90" t="str">
        <f t="shared" si="7"/>
        <v>Data!$BI$1:$BI$5</v>
      </c>
      <c r="BZ23" s="90" t="str">
        <f t="shared" si="7"/>
        <v>Data!$BI$1:$BI$5</v>
      </c>
      <c r="CA23" s="90" t="str">
        <f t="shared" si="7"/>
        <v>Data!$BI$1:$BI$5</v>
      </c>
      <c r="CB23" s="90" t="str">
        <f t="shared" si="7"/>
        <v>Data!$BI$1:$BI$5</v>
      </c>
      <c r="CC23" s="90" t="str">
        <f t="shared" si="7"/>
        <v>Data!$BI$1:$BI$5</v>
      </c>
      <c r="CD23" s="90" t="str">
        <f t="shared" si="7"/>
        <v>Data!$BI$1:$BI$5</v>
      </c>
      <c r="CE23" s="90" t="str">
        <f t="shared" si="7"/>
        <v>Data!$BI$1:$BI$5</v>
      </c>
      <c r="CF23" s="90" t="str">
        <f t="shared" si="7"/>
        <v>Data!$BI$1:$BI$5</v>
      </c>
      <c r="CG23" s="90" t="str">
        <f t="shared" si="7"/>
        <v>Data!$BI$1:$BI$5</v>
      </c>
      <c r="CH23" s="90" t="str">
        <f t="shared" si="7"/>
        <v>Data!$BI$1:$BI$5</v>
      </c>
      <c r="CI23" s="90" t="str">
        <f t="shared" si="8"/>
        <v>Data!$BI$1:$BI$5</v>
      </c>
      <c r="CJ23" s="90" t="str">
        <f t="shared" si="8"/>
        <v>Data!$BI$1:$BI$5</v>
      </c>
      <c r="CK23" s="90" t="str">
        <f t="shared" si="8"/>
        <v>Data!$BI$1:$BI$5</v>
      </c>
      <c r="CL23" s="90" t="str">
        <f t="shared" si="8"/>
        <v>Data!$BI$1:$BI$5</v>
      </c>
      <c r="CM23" s="90"/>
      <c r="CN23" s="90"/>
      <c r="CO23" s="93" t="str">
        <f>IFERROR(TIME(0,A23,B23),"")</f>
        <v/>
      </c>
      <c r="CP23" s="94">
        <f>IFERROR(TIME(0,C23,D23),"")</f>
        <v>0</v>
      </c>
      <c r="CQ23" s="94" t="str">
        <f t="shared" ref="CQ23" si="185">IF(CP23&gt;$D$12,"X","")</f>
        <v/>
      </c>
      <c r="CR23" s="88" t="str">
        <f>IF(AND(F23="Hybrid - Thrust + 2 connections",OR(LEFT(J23,1)="T",LEFT(K23,1)="T",LEFT(L23,1)="T",LEFT(PB23,1)="T",LEFT(M23,1)="T",LEFT(N23,1)="T",LEFT(O23,1)="T",LEFT(P23,1)="T",LEFT(Q23,1)="T",LEFT(R23,1)="T",LEFT(S23,1)="T",LEFT(T23,1)="T",LEFT(U23,1)="T",LEFT(V23,1)="T",LEFT(W23,1)="T",LEFT(X23,1)="T",LEFT(AK23,1)="T",LEFT(AL23,1)="T",LEFT(AM23,1)="T")),IF(OR(LEN(J23)=2,LEN(K23)=2,LEN(L23)=2,LEN(M23)=2,LEN(N23)=2,LEN(O23)=2,LEN(P23)=2,LEN(Q23)=2,LEN(R23)=2,LEN(S23)=2,LEN(T23)=2,LEN(U23)=2,LEN(V23)=2,LEN(W23)=2,LEN(X23)=2,LEN(Y23)=2,LEN(Z23)=2,LEN(AK23)=2,LEN(AL23)=2,LEN(AM23)=2),"X",""),"")</f>
        <v/>
      </c>
      <c r="CS23" s="91"/>
      <c r="CT23" s="88" t="str">
        <f>IF(LEFT(F23,4)="Acro",IF(AND(N23&lt;&gt;"",M23=RIGHT(N23,2)),"X","OK"),"")</f>
        <v/>
      </c>
      <c r="CU23" s="90" t="str">
        <f t="shared" ref="CU23:DB23" si="186">IFERROR(IF(AND(LEFT($F23,4)="Acro",INDEX(Requ_App,MATCH(BI23,Requ_Code,0))="No"),"X",""),"")</f>
        <v/>
      </c>
      <c r="CV23" s="90" t="str">
        <f t="shared" si="186"/>
        <v/>
      </c>
      <c r="CW23" s="90" t="str">
        <f t="shared" si="186"/>
        <v/>
      </c>
      <c r="CX23" s="90" t="str">
        <f t="shared" si="186"/>
        <v/>
      </c>
      <c r="CY23" s="90" t="str">
        <f t="shared" si="186"/>
        <v/>
      </c>
      <c r="CZ23" s="90" t="str">
        <f t="shared" si="186"/>
        <v/>
      </c>
      <c r="DA23" s="90" t="str">
        <f t="shared" si="186"/>
        <v/>
      </c>
      <c r="DB23" s="90" t="str">
        <f t="shared" si="186"/>
        <v/>
      </c>
      <c r="DC23" s="90" t="str">
        <f>IFERROR(IF(AND(LEFT($F23,4)="Acro",INDEX(Requ_App,MATCH(BP23,Requ_Code,0))="No"),"X",""),"")</f>
        <v/>
      </c>
      <c r="DD23" s="88" t="str">
        <f t="shared" si="10"/>
        <v/>
      </c>
      <c r="DE23" s="88" t="str">
        <f t="shared" si="11"/>
        <v/>
      </c>
      <c r="DF23" s="88" t="str">
        <f t="shared" si="12"/>
        <v/>
      </c>
      <c r="DG23" s="88" t="str">
        <f t="shared" si="13"/>
        <v/>
      </c>
      <c r="DK23" s="88">
        <f t="shared" ref="DK23" si="187">IF(AND(E24="A",OR(Q23="Grip",Q23="Conn",Q23="Catch")),"A1",IF(AND(E24="A",OR(Q23="Hula",Q23="RetSq",Q23="RetPa")),"A2",IF(AND(E24="B",OR(Q23="Twirl",Q23="RotF")),"B1",IF(AND(E24="B",OR(Q23="Moon",Q23="Mov",Q23="Hold")),"B2",IF(AND(E24="P",OR(Q23="Porp",Q23="Splch")),"P1",IF(AND(E24="P",OR(Q23="Diva",Q23="Stand")),"P2",IF(AND(E24="P",OR(Q23="Spider",Q23="Climb")),"P3",IF(AND(E24="P",OR(Q23="Fall",Q23="FTurn")),"P4",IF(AND(E24="C",OR(Q23="Jump",Q23="Jump&gt;",Q23="On1Foot",Q23="1F&gt;1F")),"C1",IF(AND(E24="C",OR(Q23="Run",Q23="BRun")),"C2",1))))))))))</f>
        <v>1</v>
      </c>
      <c r="DL23" s="88">
        <f t="shared" ref="DL23" si="188">IF(AND(E24="A",OR(R23="Grip",R23="Conn",R23="Catch")),"A1",IF(AND(E24="A",OR(R23="Hula",R23="RetSq",R23="RetPa")),"A2",IF(AND(E24="B",OR(R23="Twirl",R23="RotF")),"B1",IF(AND(E24="B",OR(R23="Moon",R23="Mov",R23="Hold")),"B2",IF(AND(E24="P",OR(R23="Porp",R23="Spich")),"P1",IF(AND(E24="P",OR(R23="Diva",R23="Stand")),"P2",IF(AND(E24="P",OR(R23="Spider",R23="Climb")),"P3",IF(AND(E24="P",OR(R23="Fall",R23="FTurn")),"P4",IF(AND(E24="C",OR(R23="Jump",R23="Jump&gt;",R23="On1Foot",R23="1F&gt;1F")),"C1",IF(AND(E24="C",OR(R23="Run",R23="BRun")),"C2",2))))))))))</f>
        <v>2</v>
      </c>
      <c r="DM23" s="88" t="str">
        <f t="shared" ref="DM23" si="189">IF(AND(N23="",OR(Q23&lt;&gt;"",R23&lt;&gt;"")),"X",IF(AND(LEFT(F23,4)="Acro",Q23&lt;&gt;"",OR(Q23=R23,DK23=DL23)),IF(R23="C-Roll","","X"),IF(OR(AND(E24="A",Q23="Catch",R23&lt;&gt;"Dbl"),AND(E24="A",R23="Catch",Q23&lt;&gt;"Dbl")),"X","")))</f>
        <v/>
      </c>
      <c r="DN23" s="88" t="str">
        <f>IF(E24="PA",J23,"")</f>
        <v/>
      </c>
      <c r="DO23" s="88">
        <v>5</v>
      </c>
      <c r="DQ23" s="88" t="str">
        <f>IF(AND($E24="A",COUNTIF($DZ$19:$EA$68,DZ23)&gt;1),DZ23,"")</f>
        <v/>
      </c>
      <c r="DR23" s="88" t="str">
        <f>IF(AND($E24="A",COUNTIF($DZ$19:$EA$68,EA23)&gt;1),EA23,"")</f>
        <v/>
      </c>
      <c r="DS23" s="88" t="str">
        <f ca="1">IF(AND($E24="B",COUNTIF($J$19:$J$68,J23)&gt;1),J23,"")</f>
        <v/>
      </c>
      <c r="DT23" s="88" t="str">
        <f ca="1">IF(AND($E24="B",COUNTIF($K$19:$K$68,K23)&gt;1),K23,"")</f>
        <v/>
      </c>
      <c r="DU23" s="88" t="str">
        <f ca="1">IF(AND($E24="C",COUNTIF($J$19:$J$68,J23)&gt;1),J23,"")</f>
        <v/>
      </c>
      <c r="DV23" s="88" t="str">
        <f ca="1">IF(AND($E24="P",COUNTIF($J$19:$J$68,J23)&gt;1),J23,"")</f>
        <v/>
      </c>
      <c r="DW23" s="88" t="str">
        <f ca="1">IF(AND($E24="P",COUNTIF($K$19:$K$68,K23)&gt;1),K23,"")</f>
        <v/>
      </c>
      <c r="DX23" s="88" t="str">
        <f>IF(AND($E24="P",COUNTIF($DZ$19:$EA$68,DZ23)&gt;1),DZ23,"")</f>
        <v/>
      </c>
      <c r="DY23" s="88" t="str">
        <f>IF(AND($E24="P",COUNTIF($DZ$19:$EA$68,EA23)&gt;1),EA23,"")</f>
        <v/>
      </c>
      <c r="DZ23" s="88" t="str">
        <f>IFERROR(IF(OR(E24="A",E24="P"),M23,""),"")</f>
        <v/>
      </c>
      <c r="EA23" s="88" t="str">
        <f>IFERROR(IF(OR(E24="A",E24="P"),RIGHT(N23,2),""),"")</f>
        <v/>
      </c>
      <c r="EB23" s="88" t="str">
        <f t="shared" ref="EB23" si="190">IF(Q23="","",IF(AND($E24="P",COUNTIF($Q$19:$R$68,Q23)&gt;1),Q23,""))</f>
        <v/>
      </c>
      <c r="EC23" s="88" t="str">
        <f t="shared" ref="EC23" si="191">IF(R23="","",IF(AND($E24="P",COUNTIF($Q$19:$R$68,R23)&gt;1),R23,""))</f>
        <v/>
      </c>
      <c r="ED23" s="88" t="str">
        <f t="shared" si="14"/>
        <v/>
      </c>
      <c r="EE23" s="88" t="str">
        <f t="shared" si="15"/>
        <v/>
      </c>
      <c r="EF23" s="88" t="str">
        <f t="shared" ref="EF23" si="192">IF(AND(OR($F$8="Open Team Acrobatic",$F$8="Open Team Technical"),LEFT(F23,4)="Acro"),E24,"")</f>
        <v/>
      </c>
      <c r="EG23" s="88" t="str">
        <f t="shared" ref="EG23" si="193">IF(EF23="","",IFERROR(IF($F$8="Open Team Acrobatic",IF(HLOOKUP(EF23,$DQ$12:$DT$13,2,FALSE)&gt;2,"X",""),IF(HLOOKUP(EF23,$DQ$12:$DT$13,2,FALSE)&gt;1,"X","")),""))</f>
        <v/>
      </c>
      <c r="EI23" s="88" t="str">
        <f t="shared" ref="EI23" si="194">IF(OR(AND(F23="Hybrid - Thrust + 2 connections",EI24="T"),AND(E24="H",EI24&lt;&gt;"",EI77="X")),"X","")</f>
        <v/>
      </c>
      <c r="EK23" s="88">
        <f t="shared" ref="EK23" si="195">IFERROR(IF(AND($E24="H",J23&lt;&gt;"",J23&lt;&gt;"ChoHY"),IF(OR(LEFT(J23,1)="T",LEFT(J23,1)="S",LEFT(J23,1)="A",LEFT(J23,1)="F",LEFT(J23,1)="C"),LEFT(J23,1),"R"),EK$18),"")</f>
        <v>1</v>
      </c>
      <c r="EL23" s="88">
        <f t="shared" ref="EL23" si="196">IFERROR(IF(AND($E24="H",K23&lt;&gt;""),IF(OR(LEFT(K23,1)="T",LEFT(K23,1)="S",LEFT(K23,1)="A",LEFT(K23,1)="F",LEFT(K23,1)="C"),LEFT(K23,1),"R"),EL$18),"")</f>
        <v>2</v>
      </c>
      <c r="EM23" s="88">
        <f t="shared" ref="EM23" si="197">IFERROR(IF(AND($E24="H",L23&lt;&gt;""),IF(OR(LEFT(L23,1)="T",LEFT(L23,1)="S",LEFT(L23,1)="A",LEFT(L23,1)="F",LEFT(L23,1)="C"),LEFT(L23,1),"R"),EM$18),"")</f>
        <v>3</v>
      </c>
      <c r="EN23" s="88">
        <f t="shared" ref="EN23" si="198">IFERROR(IF(AND($E24="H",M23&lt;&gt;""),IF(OR(LEFT(M23,1)="T",LEFT(M23,1)="S",LEFT(M23,1)="A",LEFT(M23,1)="F",LEFT(M23,1)="C"),LEFT(M23,1),"R"),EN$18),"")</f>
        <v>4</v>
      </c>
      <c r="EO23" s="88">
        <f t="shared" ref="EO23" si="199">IFERROR(IF(AND($E24="H",N23&lt;&gt;""),IF(OR(LEFT(N23,1)="T",LEFT(N23,1)="S",LEFT(N23,1)="A",LEFT(N23,1)="F",LEFT(N23,1)="C"),LEFT(N23,1),"R"),EO$18),"")</f>
        <v>5</v>
      </c>
      <c r="EP23" s="88">
        <f t="shared" ref="EP23" si="200">IFERROR(IF(AND($E24="H",O23&lt;&gt;""),IF(OR(LEFT(O23,1)="T",LEFT(O23,1)="S",LEFT(O23,1)="A",LEFT(O23,1)="F",LEFT(O23,1)="C"),LEFT(O23,1),"R"),EP$18),"")</f>
        <v>6</v>
      </c>
      <c r="EQ23" s="88">
        <f t="shared" ref="EQ23" si="201">IFERROR(IF(AND($E24="H",P23&lt;&gt;""),IF(OR(LEFT(P23,1)="T",LEFT(P23,1)="S",LEFT(P23,1)="A",LEFT(P23,1)="F",LEFT(P23,1)="C"),LEFT(P23,1),"R"),EQ$18),"")</f>
        <v>7</v>
      </c>
      <c r="ER23" s="88">
        <f t="shared" ref="ER23" si="202">IFERROR(IF(AND($E24="H",Q23&lt;&gt;""),IF(OR(LEFT(Q23,1)="T",LEFT(Q23,1)="S",LEFT(Q23,1)="A",LEFT(Q23,1)="F",LEFT(Q23,1)="C"),LEFT(Q23,1),"R"),ER$18),"")</f>
        <v>8</v>
      </c>
      <c r="ES23" s="88">
        <f t="shared" ref="ES23" si="203">IFERROR(IF(AND($E24="H",R23&lt;&gt;""),IF(OR(LEFT(R23,1)="T",LEFT(R23,1)="S",LEFT(R23,1)="A",LEFT(R23,1)="F",LEFT(R23,1)="C"),LEFT(R23,1),"R"),ES$18),"")</f>
        <v>9</v>
      </c>
      <c r="ET23" s="88">
        <f t="shared" ref="ET23" si="204">IFERROR(IF(AND($E24="H",S23&lt;&gt;""),IF(OR(LEFT(S23,1)="T",LEFT(S23,1)="S",LEFT(S23,1)="A",LEFT(S23,1)="F",LEFT(S23,1)="C"),LEFT(S23,1),"R"),ET$18),"")</f>
        <v>10</v>
      </c>
      <c r="EU23" s="88">
        <f t="shared" ref="EU23" si="205">IFERROR(IF(AND($E24="H",T23&lt;&gt;""),IF(OR(LEFT(T23,1)="T",LEFT(T23,1)="S",LEFT(T23,1)="A",LEFT(T23,1)="F",LEFT(T23,1)="C"),LEFT(T23,1),"R"),EU$18),"")</f>
        <v>11</v>
      </c>
      <c r="EV23" s="88">
        <f t="shared" ref="EV23" si="206">IFERROR(IF(AND($E24="H",U23&lt;&gt;""),IF(OR(LEFT(U23,1)="T",LEFT(U23,1)="S",LEFT(U23,1)="A",LEFT(U23,1)="F",LEFT(U23,1)="C"),LEFT(U23,1),"R"),EV$18),"")</f>
        <v>12</v>
      </c>
      <c r="EW23" s="88">
        <f t="shared" ref="EW23" si="207">IFERROR(IF(AND($E24="H",V23&lt;&gt;""),IF(OR(LEFT(V23,1)="T",LEFT(V23,1)="S",LEFT(V23,1)="A",LEFT(V23,1)="F",LEFT(V23,1)="C"),LEFT(V23,1),"R"),EW$18),"")</f>
        <v>13</v>
      </c>
      <c r="EX23" s="88">
        <f t="shared" ref="EX23" si="208">IFERROR(IF(AND($E24="H",W23&lt;&gt;""),IF(OR(LEFT(W23,1)="T",LEFT(W23,1)="S",LEFT(W23,1)="A",LEFT(W23,1)="F",LEFT(W23,1)="C"),LEFT(W23,1),"R"),EX$18),"")</f>
        <v>14</v>
      </c>
      <c r="EY23" s="88">
        <f t="shared" ref="EY23" si="209">IFERROR(IF(AND($E24="H",X23&lt;&gt;""),IF(OR(LEFT(X23,1)="T",LEFT(X23,1)="S",LEFT(X23,1)="A",LEFT(X23,1)="F",LEFT(X23,1)="C"),LEFT(X23,1),"R"),EY$18),"")</f>
        <v>15</v>
      </c>
      <c r="EZ23" s="88">
        <f t="shared" ref="EZ23" si="210">IFERROR(IF(AND($E24="H",Y23&lt;&gt;""),IF(OR(LEFT(Y23,1)="T",LEFT(Y23,1)="S",LEFT(Y23,1)="A",LEFT(Y23,1)="F",LEFT(Y23,1)="C"),LEFT(Y23,1),"R"),EZ$18),"")</f>
        <v>16</v>
      </c>
      <c r="FA23" s="88">
        <f t="shared" ref="FA23" si="211">IFERROR(IF(AND($E24="H",Z23&lt;&gt;""),IF(OR(LEFT(Z23,1)="T",LEFT(Z23,1)="S",LEFT(Z23,1)="A",LEFT(Z23,1)="F",LEFT(Z23,1)="C"),LEFT(Z23,1),"R"),FA$18),"")</f>
        <v>17</v>
      </c>
      <c r="FB23" s="88">
        <f t="shared" ref="FB23" si="212">IFERROR(IF(AND($E24="H",AA23&lt;&gt;""),IF(OR(LEFT(AA23,1)="T",LEFT(AA23,1)="S",LEFT(AA23,1)="A",LEFT(AA23,1)="F",LEFT(AA23,1)="C"),LEFT(AA23,1),"R"),FB$18),"")</f>
        <v>18</v>
      </c>
      <c r="FC23" s="88">
        <f t="shared" ref="FC23" si="213">IFERROR(IF(AND($E24="H",AB23&lt;&gt;""),IF(OR(LEFT(AB23,1)="T",LEFT(AB23,1)="S",LEFT(AB23,1)="A",LEFT(AB23,1)="F",LEFT(AB23,1)="C"),LEFT(AB23,1),"R"),FC$18),"")</f>
        <v>19</v>
      </c>
      <c r="FD23" s="88">
        <f t="shared" ref="FD23" si="214">IFERROR(IF(AND($E24="H",AC23&lt;&gt;""),IF(OR(LEFT(AC23,1)="T",LEFT(AC23,1)="S",LEFT(AC23,1)="A",LEFT(AC23,1)="F",LEFT(AC23,1)="C"),LEFT(AC23,1),"R"),FD$18),"")</f>
        <v>20</v>
      </c>
      <c r="FE23" s="88">
        <f t="shared" ref="FE23" si="215">IFERROR(IF(AND($E24="H",AD23&lt;&gt;""),IF(OR(LEFT(AD23,1)="T",LEFT(AD23,1)="S",LEFT(AD23,1)="A",LEFT(AD23,1)="F",LEFT(AD23,1)="C"),LEFT(AD23,1),"R"),FE$18),"")</f>
        <v>21</v>
      </c>
      <c r="FF23" s="88">
        <f t="shared" ref="FF23" si="216">IFERROR(IF(AND($E24="H",AE23&lt;&gt;""),IF(OR(LEFT(AE23,1)="T",LEFT(AE23,1)="S",LEFT(AE23,1)="A",LEFT(AE23,1)="F",LEFT(AE23,1)="C"),LEFT(AE23,1),"R"),FF$18),"")</f>
        <v>22</v>
      </c>
      <c r="FG23" s="88">
        <f t="shared" ref="FG23" si="217">IFERROR(IF(AND($E24="H",AF23&lt;&gt;""),IF(OR(LEFT(AF23,1)="T",LEFT(AF23,1)="S",LEFT(AF23,1)="A",LEFT(AF23,1)="F",LEFT(AF23,1)="C"),LEFT(AF23,1),"R"),FG$18),"")</f>
        <v>23</v>
      </c>
      <c r="FH23" s="88">
        <f t="shared" ref="FH23" si="218">IFERROR(IF(AND($E24="H",AG23&lt;&gt;""),IF(OR(LEFT(AG23,1)="T",LEFT(AG23,1)="S",LEFT(AG23,1)="A",LEFT(AG23,1)="F",LEFT(AG23,1)="C"),LEFT(AG23,1),"R"),FH$18),"")</f>
        <v>24</v>
      </c>
      <c r="FI23" s="88">
        <f t="shared" ref="FI23" si="219">IFERROR(IF(AND($E24="H",AH23&lt;&gt;""),IF(OR(LEFT(AH23,1)="T",LEFT(AH23,1)="S",LEFT(AH23,1)="A",LEFT(AH23,1)="F",LEFT(AH23,1)="C"),LEFT(AH23,1),"R"),FI$18),"")</f>
        <v>25</v>
      </c>
      <c r="FJ23" s="88">
        <f t="shared" ref="FJ23" si="220">IFERROR(IF(AND($E24="H",AI23&lt;&gt;""),IF(OR(LEFT(AI23,1)="T",LEFT(AI23,1)="S",LEFT(AI23,1)="A",LEFT(AI23,1)="F",LEFT(AI23,1)="C"),LEFT(AI23,1),"R"),FJ$18),"")</f>
        <v>26</v>
      </c>
      <c r="FK23" s="88">
        <f t="shared" ref="FK23" si="221">IFERROR(IF(AND($E24="H",AJ23&lt;&gt;""),IF(OR(LEFT(AJ23,1)="T",LEFT(AJ23,1)="S",LEFT(AJ23,1)="A",LEFT(AJ23,1)="F",LEFT(AJ23,1)="C"),LEFT(AJ23,1),"R"),FK$18),"")</f>
        <v>27</v>
      </c>
      <c r="FL23" s="88">
        <f t="shared" ref="FL23" si="222">IFERROR(IF(AND($E24="H",AK23&lt;&gt;""),IF(OR(LEFT(AK23,1)="T",LEFT(AK23,1)="S",LEFT(AK23,1)="A",LEFT(AK23,1)="F",LEFT(AK23,1)="C"),LEFT(AK23,1),"R"),FL$18),"")</f>
        <v>28</v>
      </c>
      <c r="FM23" s="88">
        <f t="shared" ref="FM23" si="223">IFERROR(IF(AND($E24="H",AL23&lt;&gt;""),IF(OR(LEFT(AL23,1)="T",LEFT(AL23,1)="S",LEFT(AL23,1)="A",LEFT(AL23,1)="F",LEFT(AL23,1)="C"),LEFT(AL23,1),"R"),FM$18),"")</f>
        <v>29</v>
      </c>
      <c r="FN23" s="88">
        <f t="shared" ref="FN23" si="224">IFERROR(IF(AND($E24="H",AM23&lt;&gt;""),IF(OR(LEFT(AM23,1)="T",LEFT(AM23,1)="S",LEFT(AM23,1)="A",LEFT(AM23,1)="F",LEFT(AM23,1)="C"),LEFT(AM23,1),"R"),FN$18),"")</f>
        <v>30</v>
      </c>
      <c r="FO23" s="88"/>
      <c r="FP23" s="88"/>
      <c r="FQ23" s="88"/>
      <c r="FR23" s="285"/>
      <c r="FS23" s="285"/>
      <c r="FT23" s="285"/>
      <c r="FU23" s="285"/>
      <c r="FV23" s="285"/>
      <c r="FW23" s="285"/>
      <c r="FX23" s="285"/>
      <c r="FY23" s="285"/>
      <c r="FZ23" s="285"/>
      <c r="GA23" s="285"/>
      <c r="GB23" s="285"/>
      <c r="GC23" s="285"/>
      <c r="GD23" s="285"/>
      <c r="GE23" s="285"/>
      <c r="GF23" s="285"/>
      <c r="GG23" s="285"/>
      <c r="GH23" s="285"/>
      <c r="GI23" s="285"/>
      <c r="GJ23" s="285"/>
      <c r="GK23" s="285"/>
      <c r="GL23" s="285"/>
      <c r="GM23" s="285"/>
      <c r="GN23" s="285"/>
      <c r="GO23" s="285"/>
      <c r="GP23" s="285"/>
      <c r="GQ23" s="285"/>
      <c r="GR23" s="285"/>
      <c r="GS23" s="285"/>
      <c r="GT23" s="285"/>
      <c r="GU23" s="285"/>
      <c r="GV23" s="88"/>
      <c r="GW23" s="88">
        <f t="shared" ref="GW23" si="225">COUNTIF($EK23:$FN23,GW$18)</f>
        <v>0</v>
      </c>
      <c r="GX23" s="88">
        <f t="shared" si="29"/>
        <v>0</v>
      </c>
      <c r="GY23" s="88">
        <f t="shared" si="29"/>
        <v>0</v>
      </c>
      <c r="GZ23" s="88">
        <f t="shared" si="29"/>
        <v>0</v>
      </c>
      <c r="HA23" s="88">
        <f t="shared" si="29"/>
        <v>0</v>
      </c>
      <c r="HB23" s="88">
        <f t="shared" si="29"/>
        <v>0</v>
      </c>
      <c r="HC23" s="88"/>
      <c r="HD23" s="88" t="str">
        <f t="shared" ref="HD23" si="226">IF(AND($F23="Hybrid - Thrust + 2 connections",HD24=0,LEFT($J23,1)="C",LEFT($K23,1)="C",LEFT($L23,1)="C"),"X","")</f>
        <v/>
      </c>
      <c r="HE23" s="88"/>
      <c r="HF23" s="91"/>
      <c r="HG23" s="100"/>
      <c r="HH23" s="100"/>
      <c r="HI23" s="91" t="str">
        <f t="shared" ref="HI23" si="227">IF(E24=3,IF(_xlfn.NUMBERVALUE(LEFT(J23,1))&gt;0,_xlfn.NUMBERVALUE(LEFT(J23,1)),""),"")</f>
        <v/>
      </c>
      <c r="HK23" s="91" t="str">
        <f t="shared" ref="HK23" si="228">IF(OR(E24="B",E24="P"),E24,"")</f>
        <v/>
      </c>
      <c r="HL23" s="91" t="str">
        <f>IF(AND(J23&lt;&gt;"",HK23&lt;&gt;""),IF(HK23="B",MATCH(J23,AcroDD!$U$3:$AE$3,0),MATCH(J23,AcroDD!$U$30:$AC$30,0)),"")</f>
        <v/>
      </c>
      <c r="HM23" s="91" t="str">
        <f t="shared" ref="HM23" si="229">IF(AND(K23&lt;&gt;"",HK23&lt;&gt;""),K23,"")</f>
        <v/>
      </c>
      <c r="HN23" s="91" t="str">
        <f>_xlfn.LET(_xlpm.lista,IF(HK23="B",INDEX(AcroDD!$T$4:$AE$23,0,HL23+1),INDEX(AcroDD!$T$31:$AC$50,0,HL23+1)),IF(AND(OR(HK23="B",HK23="P"),HL23&lt;&gt;"",HM23&lt;&gt;""),IF(ISNUMBER(MATCH(HM23,_xlpm.lista,0)),"OK","X"),""))</f>
        <v/>
      </c>
    </row>
    <row r="24" spans="1:222" ht="12.75" customHeight="1" x14ac:dyDescent="0.35">
      <c r="A24" s="28"/>
      <c r="B24" s="29"/>
      <c r="C24" s="29"/>
      <c r="D24" s="29"/>
      <c r="E24" s="17" t="str">
        <f>IF(F23="Acrobatic - Pair","PA",IF(F23="Acrobatic Airborn","A",IF(F23="Acrobatic Balance","B",IF(F23="Acrobatic Combined","C",IF(F23="Acrobatic Platform","P",IF(F23="Technical Required Element",3,IF(LEFT(F23,4)="Hybr","H","")))))))</f>
        <v/>
      </c>
      <c r="F24" s="17" t="str">
        <f>IF(AND(F23="Hybrid - Thrust + 2 connections",CR23="X"),"Hybrid - Thrust",IF(OR(E24="A",E24="B",E24="C",E24="P"),"Acrobatic",""))</f>
        <v/>
      </c>
      <c r="G24" s="31"/>
      <c r="H24" s="182" t="str">
        <f t="shared" ref="H24" si="230">IF(E24="PA",IF(OR(LEFT(J23,1)="L",LEFT(J23,1)="S"),"A-Pair-Lift",IF(OR(LEFT(J23,1)="W",LEFT(J23,1)="T"),"A-Pair-Throw",IF(LEFT(J23,1)="J","A-Pair-Jump","A-Pair"))),IF(OR(E24="A",E24="B",E24="C",E24="P"),CONCATENATE("Acro-",E24),""))</f>
        <v/>
      </c>
      <c r="I24" s="176" t="e">
        <f>IF(OR(F23="Hybrid - Choreography (DD = 1)",LEFT(F23,5)="Trans"),0,INDEX($BY$3:$BY$9,MATCH(E24,$BX$3:$BX$9,0)))</f>
        <v>#N/A</v>
      </c>
      <c r="J24" s="171">
        <f ca="1">IFERROR(IF($H23="No DD",IF(J23="ChoHY",1,0),IF(OR(ISBLANK(J23),J23="N/A"),0,INDEX(INDIRECT(BI24),MATCH(J23,INDIRECT(BI23),0)))),0)</f>
        <v>0</v>
      </c>
      <c r="K24" s="171">
        <f t="shared" ref="K24:Y24" ca="1" si="231">IFERROR(IF($H23="No DD",0,IF(OR(ISBLANK(K23),K23="N/A"),0,INDEX(INDIRECT(BJ24),MATCH(K23,INDIRECT(BJ23),0)))),0)</f>
        <v>0</v>
      </c>
      <c r="L24" s="171">
        <f t="shared" ca="1" si="231"/>
        <v>0</v>
      </c>
      <c r="M24" s="171">
        <f t="shared" ca="1" si="231"/>
        <v>0</v>
      </c>
      <c r="N24" s="171">
        <f t="shared" ca="1" si="231"/>
        <v>0</v>
      </c>
      <c r="O24" s="171">
        <f t="shared" ca="1" si="231"/>
        <v>0</v>
      </c>
      <c r="P24" s="171">
        <f t="shared" ca="1" si="231"/>
        <v>0</v>
      </c>
      <c r="Q24" s="171">
        <f t="shared" ca="1" si="231"/>
        <v>0</v>
      </c>
      <c r="R24" s="171">
        <f t="shared" ca="1" si="231"/>
        <v>0</v>
      </c>
      <c r="S24" s="171">
        <f t="shared" ca="1" si="231"/>
        <v>0</v>
      </c>
      <c r="T24" s="171">
        <f t="shared" ca="1" si="231"/>
        <v>0</v>
      </c>
      <c r="U24" s="171">
        <f t="shared" ca="1" si="231"/>
        <v>0</v>
      </c>
      <c r="V24" s="171">
        <f t="shared" ca="1" si="231"/>
        <v>0</v>
      </c>
      <c r="W24" s="171">
        <f t="shared" ca="1" si="231"/>
        <v>0</v>
      </c>
      <c r="X24" s="171">
        <f t="shared" ca="1" si="231"/>
        <v>0</v>
      </c>
      <c r="Y24" s="171">
        <f t="shared" ca="1" si="231"/>
        <v>0</v>
      </c>
      <c r="Z24" s="171">
        <f t="shared" ref="Z24" ca="1" si="232">IFERROR(IF($H23="No DD",0,IF(OR(ISBLANK(Z23),Z23="N/A"),0,INDEX(INDIRECT(BY24),MATCH(Z23,INDIRECT(BY23),0)))),0)</f>
        <v>0</v>
      </c>
      <c r="AA24" s="171">
        <f t="shared" ref="AA24" ca="1" si="233">IFERROR(IF($H23="No DD",0,IF(OR(ISBLANK(AA23),AA23="N/A"),0,INDEX(INDIRECT(BZ24),MATCH(AA23,INDIRECT(BZ23),0)))),0)</f>
        <v>0</v>
      </c>
      <c r="AB24" s="171">
        <f t="shared" ref="AB24" ca="1" si="234">IFERROR(IF($H23="No DD",0,IF(OR(ISBLANK(AB23),AB23="N/A"),0,INDEX(INDIRECT(CA24),MATCH(AB23,INDIRECT(CA23),0)))),0)</f>
        <v>0</v>
      </c>
      <c r="AC24" s="171">
        <f t="shared" ref="AC24" ca="1" si="235">IFERROR(IF($H23="No DD",0,IF(OR(ISBLANK(AC23),AC23="N/A"),0,INDEX(INDIRECT(CB24),MATCH(AC23,INDIRECT(CB23),0)))),0)</f>
        <v>0</v>
      </c>
      <c r="AD24" s="171">
        <f t="shared" ref="AD24" ca="1" si="236">IFERROR(IF($H23="No DD",0,IF(OR(ISBLANK(AD23),AD23="N/A"),0,INDEX(INDIRECT(CC24),MATCH(AD23,INDIRECT(CC23),0)))),0)</f>
        <v>0</v>
      </c>
      <c r="AE24" s="171">
        <f t="shared" ref="AE24" ca="1" si="237">IFERROR(IF($H23="No DD",0,IF(OR(ISBLANK(AE23),AE23="N/A"),0,INDEX(INDIRECT(CD24),MATCH(AE23,INDIRECT(CD23),0)))),0)</f>
        <v>0</v>
      </c>
      <c r="AF24" s="171">
        <f t="shared" ref="AF24" ca="1" si="238">IFERROR(IF($H23="No DD",0,IF(OR(ISBLANK(AF23),AF23="N/A"),0,INDEX(INDIRECT(CE24),MATCH(AF23,INDIRECT(CE23),0)))),0)</f>
        <v>0</v>
      </c>
      <c r="AG24" s="171">
        <f t="shared" ref="AG24" ca="1" si="239">IFERROR(IF($H23="No DD",0,IF(OR(ISBLANK(AG23),AG23="N/A"),0,INDEX(INDIRECT(CF24),MATCH(AG23,INDIRECT(CF23),0)))),0)</f>
        <v>0</v>
      </c>
      <c r="AH24" s="171">
        <f t="shared" ref="AH24" ca="1" si="240">IFERROR(IF($H23="No DD",0,IF(OR(ISBLANK(AH23),AH23="N/A"),0,INDEX(INDIRECT(CG24),MATCH(AH23,INDIRECT(CG23),0)))),0)</f>
        <v>0</v>
      </c>
      <c r="AI24" s="171">
        <f t="shared" ref="AI24" ca="1" si="241">IFERROR(IF($H23="No DD",0,IF(OR(ISBLANK(AI23),AI23="N/A"),0,INDEX(INDIRECT(CH24),MATCH(AI23,INDIRECT(CH23),0)))),0)</f>
        <v>0</v>
      </c>
      <c r="AJ24" s="171">
        <f t="shared" ref="AJ24" ca="1" si="242">IFERROR(IF($H23="No DD",0,IF(OR(ISBLANK(AJ23),AJ23="N/A"),0,INDEX(INDIRECT(CI24),MATCH(AJ23,INDIRECT(CI23),0)))),0)</f>
        <v>0</v>
      </c>
      <c r="AK24" s="171">
        <f t="shared" ref="AK24" ca="1" si="243">IFERROR(IF($H23="No DD",0,IF(OR(ISBLANK(AK23),AK23="N/A"),0,INDEX(INDIRECT(CJ24),MATCH(AK23,INDIRECT(CJ23),0)))),0)</f>
        <v>0</v>
      </c>
      <c r="AL24" s="171">
        <f t="shared" ref="AL24" ca="1" si="244">IFERROR(IF($H23="No DD",0,IF(OR(ISBLANK(AL23),AL23="N/A"),0,INDEX(INDIRECT(CK24),MATCH(AL23,INDIRECT(CK23),0)))),0)</f>
        <v>0</v>
      </c>
      <c r="AM24" s="171">
        <f t="shared" ref="AM24" ca="1" si="245">IFERROR(IF($H23="No DD",0,IF(OR(ISBLANK(AM23),AM23="N/A"),0,INDEX(INDIRECT(CL24),MATCH(AM23,INDIRECT(CL23),0)))),0)</f>
        <v>0</v>
      </c>
      <c r="AN24" s="172" t="str">
        <f>IFERROR(IF(E24="H",INDEX(HybridBonus_Value,MATCH(AN23,HybridBonus_Code,0)),""),"")</f>
        <v/>
      </c>
      <c r="AO24" s="276" t="str">
        <f t="shared" ref="AO24" si="246">IFERROR(SUM(I24:AN24),"")</f>
        <v/>
      </c>
      <c r="AP24" s="62"/>
      <c r="AQ24" s="62"/>
      <c r="AR24" s="101"/>
      <c r="AS24" s="101"/>
      <c r="AT24" s="101"/>
      <c r="AU24" s="101"/>
      <c r="AV24" s="101"/>
      <c r="BA24" s="90"/>
      <c r="BB24" s="101"/>
      <c r="BC24" s="101"/>
      <c r="BD24" s="101"/>
      <c r="BE24" s="101"/>
      <c r="BF24" s="101"/>
      <c r="BG24" s="90"/>
      <c r="BH24" s="101"/>
      <c r="BI24" s="91" t="str">
        <f t="shared" ref="BI24" si="247">IF($E24="H",IF($F23="Hybrid - Thrust + 2 connections","Hybrid_Mix_Req_Value","HybridDD_Value"),IF($E24=3,"TreDD_Value",IF($E24="PA","AcroPair_Value",IF(LEFT($F23,4)="Acro",CONCATENATE(BI$16,$E24,"_Value"),""))))</f>
        <v/>
      </c>
      <c r="BJ24" s="91" t="str">
        <f t="shared" ref="BJ24" si="248">IF($E24="H",IF($F23="Hybrid - Thrust + 2 connections","Hybrid_Mix_Req_Value","HybridDD_Value"),IF($E24=3,"TreDD_Value",IF($E24="PA","AcroPair_Value",IF(LEFT($F23,4)="Acro",CONCATENATE(BJ$16,$E24,"_Value"),""))))</f>
        <v/>
      </c>
      <c r="BK24" s="91" t="str">
        <f t="shared" ref="BK24" si="249">IF($E24="H",IF($F23="Hybrid - Thrust + 2 connections","Hybrid_Mix_Req_Value","HybridDD_Value"),IF($E24=3,"TreDD_Value",IF($E24="PA","AcroPair_Value",IF(LEFT($F23,4)="Acro",CONCATENATE(BK$16,$E24,"_Value"),""))))</f>
        <v/>
      </c>
      <c r="BL24" s="91" t="str">
        <f t="shared" ref="BL24" si="250">IF($E24="H",IF($F23="Hybrid - Thrust + 2 connections","Hybrid_Mix_Req_Value","HybridDD_Value"),IF($E24=3,"TreDD_Value",IF($E24="PA","AcroPair_Value",IF(LEFT($F23,4)="Acro",CONCATENATE(BL$16,$E24,"_Value"),""))))</f>
        <v/>
      </c>
      <c r="BM24" s="91" t="str">
        <f t="shared" ref="BM24" si="251">IF($E24="H",IF($F23="Hybrid - Thrust + 2 connections","Hybrid_Mix_Req_Value","HybridDD_Value"),IF($E24=3,"TreDD_Value",IF($E24="PA","AcroPair_Value",IF(LEFT($F23,4)="Acro",CONCATENATE(BM$16,$E24,"_Value"),""))))</f>
        <v/>
      </c>
      <c r="BN24" s="91" t="str">
        <f t="shared" ref="BN24" si="252">IF($E24="H",IF($F23="Hybrid - Thrust + 2 connections","Hybrid_Mix_Req_Value","HybridDD_Value"),IF($E24=3,"TreDD_Value",IF($E24="PA","AcroPair_Value",IF(LEFT($F23,4)="Acro",CONCATENATE(BN$16,$E24,"_Value"),""))))</f>
        <v/>
      </c>
      <c r="BO24" s="91" t="str">
        <f t="shared" ref="BO24" si="253">IF($E24="H",IF($F23="Hybrid - Thrust + 2 connections","Hybrid_Mix_Req_Value","HybridDD_Value"),IF($E24=3,"TreDD_Value",IF($E24="PA","AcroPair_Value",IF(LEFT($F23,4)="Acro",CONCATENATE(BO$16,$E24,"_Value"),""))))</f>
        <v/>
      </c>
      <c r="BP24" s="91" t="str">
        <f t="shared" ref="BP24" si="254">IF($E24="H",IF($F23="Hybrid - Thrust + 2 connections","Hybrid_Mix_Req_Value","HybridDD_Value"),IF($E24=3,"TreDD_Value",IF($E24="PA","AcroPair_Value",IF(LEFT($F23,4)="Acro",CONCATENATE(BP$16,$E24,"_Value"),""))))</f>
        <v/>
      </c>
      <c r="BQ24" s="91" t="str">
        <f t="shared" ref="BQ24" si="255">IF($E24="H",IF($F23="Hybrid - Thrust + 2 connections","Hybrid_Mix_Req_Value","HybridDD_Value"),IF($E24=3,"TreDD_Value",IF($E24="PA","AcroPair_Value",IF(LEFT($F23,4)="Acro",CONCATENATE(BQ$16,$E24,"_Value"),""))))</f>
        <v/>
      </c>
      <c r="BR24" s="90" t="str">
        <f t="shared" ref="BR24" si="256">IF($E24="H",IF($F23="Hybrid - Thrust + 2 connections","Data!$BI$1:$BI$5","HybridDD_Value"),"Data!$BI$1:$BI$5")</f>
        <v>Data!$BI$1:$BI$5</v>
      </c>
      <c r="BS24" s="90" t="str">
        <f t="shared" ref="BS24" si="257">IF($E24="H",IF($F23="Hybrid - Thrust + 2 connections","Data!$BI$1:$BI$5","HybridDD_Value"),"Data!$BI$1:$BI$5")</f>
        <v>Data!$BI$1:$BI$5</v>
      </c>
      <c r="BT24" s="90" t="str">
        <f t="shared" ref="BT24" si="258">IF($E24="H",IF($F23="Hybrid - Thrust + 2 connections","Data!$BI$1:$BI$5","HybridDD_Value"),"Data!$BI$1:$BI$5")</f>
        <v>Data!$BI$1:$BI$5</v>
      </c>
      <c r="BU24" s="90" t="str">
        <f t="shared" ref="BU24" si="259">IF($E24="H",IF($F23="Hybrid - Thrust + 2 connections","Data!$BI$1:$BI$5","HybridDD_Value"),"Data!$BI$1:$BI$5")</f>
        <v>Data!$BI$1:$BI$5</v>
      </c>
      <c r="BV24" s="90" t="str">
        <f t="shared" ref="BV24" si="260">IF($E24="H",IF($F23="Hybrid - Thrust + 2 connections","Data!$BI$1:$BI$5","HybridDD_Value"),"Data!$BI$1:$BI$5")</f>
        <v>Data!$BI$1:$BI$5</v>
      </c>
      <c r="BW24" s="90" t="str">
        <f t="shared" ref="BW24" si="261">IF($E24="H",IF($F23="Hybrid - Thrust + 2 connections","Data!$BI$1:$BI$5","HybridDD_Value"),"Data!$BI$1:$BI$5")</f>
        <v>Data!$BI$1:$BI$5</v>
      </c>
      <c r="BX24" s="90" t="str">
        <f t="shared" ref="BX24" si="262">IF($E24="H",IF($F23="Hybrid - Thrust + 2 connections","Data!$BI$1:$BI$5","HybridDD_Value"),"Data!$BI$1:$BI$5")</f>
        <v>Data!$BI$1:$BI$5</v>
      </c>
      <c r="BY24" s="90" t="str">
        <f t="shared" ref="BY24" si="263">IF($E24="H",IF($F23="Hybrid - Thrust + 2 connections","Data!$BI$1:$BI$5","HybridDD_Value"),"Data!$BI$1:$BI$5")</f>
        <v>Data!$BI$1:$BI$5</v>
      </c>
      <c r="BZ24" s="90" t="str">
        <f t="shared" ref="BZ24" si="264">IF($E24="H",IF($F23="Hybrid - Thrust + 2 connections","Data!$BI$1:$BI$5","HybridDD_Value"),"Data!$BI$1:$BI$5")</f>
        <v>Data!$BI$1:$BI$5</v>
      </c>
      <c r="CA24" s="90" t="str">
        <f t="shared" ref="CA24" si="265">IF($E24="H",IF($F23="Hybrid - Thrust + 2 connections","Data!$BI$1:$BI$5","HybridDD_Value"),"Data!$BI$1:$BI$5")</f>
        <v>Data!$BI$1:$BI$5</v>
      </c>
      <c r="CB24" s="90" t="str">
        <f t="shared" ref="CB24" si="266">IF($E24="H",IF($F23="Hybrid - Thrust + 2 connections","Data!$BI$1:$BI$5","HybridDD_Value"),"Data!$BI$1:$BI$5")</f>
        <v>Data!$BI$1:$BI$5</v>
      </c>
      <c r="CC24" s="90" t="str">
        <f t="shared" ref="CC24" si="267">IF($E24="H",IF($F23="Hybrid - Thrust + 2 connections","Data!$BI$1:$BI$5","HybridDD_Value"),"Data!$BI$1:$BI$5")</f>
        <v>Data!$BI$1:$BI$5</v>
      </c>
      <c r="CD24" s="90" t="str">
        <f t="shared" ref="CD24" si="268">IF($E24="H",IF($F23="Hybrid - Thrust + 2 connections","Data!$BI$1:$BI$5","HybridDD_Value"),"Data!$BI$1:$BI$5")</f>
        <v>Data!$BI$1:$BI$5</v>
      </c>
      <c r="CE24" s="90" t="str">
        <f t="shared" ref="CE24" si="269">IF($E24="H",IF($F23="Hybrid - Thrust + 2 connections","Data!$BI$1:$BI$5","HybridDD_Value"),"Data!$BI$1:$BI$5")</f>
        <v>Data!$BI$1:$BI$5</v>
      </c>
      <c r="CF24" s="90" t="str">
        <f t="shared" ref="CF24" si="270">IF($E24="H",IF($F23="Hybrid - Thrust + 2 connections","Data!$BI$1:$BI$5","HybridDD_Value"),"Data!$BI$1:$BI$5")</f>
        <v>Data!$BI$1:$BI$5</v>
      </c>
      <c r="CG24" s="90" t="str">
        <f t="shared" ref="CG24" si="271">IF($E24="H",IF($F23="Hybrid - Thrust + 2 connections","Data!$BI$1:$BI$5","HybridDD_Value"),"Data!$BI$1:$BI$5")</f>
        <v>Data!$BI$1:$BI$5</v>
      </c>
      <c r="CH24" s="90" t="str">
        <f t="shared" ref="CH24" si="272">IF($E24="H",IF($F23="Hybrid - Thrust + 2 connections","Data!$BI$1:$BI$5","HybridDD_Value"),"Data!$BI$1:$BI$5")</f>
        <v>Data!$BI$1:$BI$5</v>
      </c>
      <c r="CI24" s="90" t="str">
        <f t="shared" ref="CI24" si="273">IF($E24="H",IF($F23="Hybrid - Thrust + 2 connections","Data!$BI$1:$BI$5","HybridDD_Value"),"Data!$BI$1:$BI$5")</f>
        <v>Data!$BI$1:$BI$5</v>
      </c>
      <c r="CJ24" s="90" t="str">
        <f t="shared" ref="CJ24" si="274">IF($E24="H",IF($F23="Hybrid - Thrust + 2 connections","Data!$BI$1:$BI$5","HybridDD_Value"),"Data!$BI$1:$BI$5")</f>
        <v>Data!$BI$1:$BI$5</v>
      </c>
      <c r="CK24" s="90" t="str">
        <f t="shared" ref="CK24" si="275">IF($E24="H",IF($F23="Hybrid - Thrust + 2 connections","Data!$BI$1:$BI$5","HybridDD_Value"),"Data!$BI$1:$BI$5")</f>
        <v>Data!$BI$1:$BI$5</v>
      </c>
      <c r="CL24" s="90" t="str">
        <f t="shared" ref="CL24" si="276">IF($E24="H",IF($F23="Hybrid - Thrust + 2 connections","Data!$BI$1:$BI$5","HybridDD_Value"),"Data!$BI$1:$BI$5")</f>
        <v>Data!$BI$1:$BI$5</v>
      </c>
      <c r="CM24" s="101"/>
      <c r="CN24" s="101"/>
      <c r="CO24" s="102" t="str">
        <f>IFERROR(IF(AND($BV$6="T",$BV$8="T",LEFT(F23,4)="Acro",AO24&gt;3),"X",IF($N$7="X",IF(AND(E24="C",AO24&gt;$CN$6),"X",IF(AND(E24="A",AO24&gt;$CN$4),"X",IF(AND(E24="B",AO24&gt;$CN$5),"X",IF(AND(E24="P",AO24&gt;$CN$7),"X","")))),"")),"")</f>
        <v/>
      </c>
      <c r="CP24" s="94"/>
      <c r="CQ24" s="91"/>
      <c r="CS24" s="91"/>
      <c r="CT24" s="91"/>
      <c r="CU24" s="91"/>
      <c r="CV24" s="91"/>
      <c r="CW24" s="91"/>
      <c r="CX24" s="91"/>
      <c r="CY24" s="91"/>
      <c r="CZ24" s="91"/>
      <c r="DD24" s="88" t="str">
        <f t="shared" si="10"/>
        <v/>
      </c>
      <c r="DE24" s="88" t="str">
        <f t="shared" si="11"/>
        <v/>
      </c>
      <c r="DF24" s="88" t="str">
        <f t="shared" si="12"/>
        <v/>
      </c>
      <c r="DG24" s="88" t="str">
        <f t="shared" si="13"/>
        <v/>
      </c>
      <c r="DO24" s="88">
        <v>6</v>
      </c>
      <c r="ED24" s="88" t="str">
        <f t="shared" si="14"/>
        <v/>
      </c>
      <c r="EE24" s="88" t="str">
        <f t="shared" si="15"/>
        <v/>
      </c>
      <c r="EI24" s="88" t="str" cm="1">
        <f t="array" ref="EI24">IFERROR(INDEX(EK24:FN24,MATCH(TRUE,INDEX((EK24:FN24&lt;&gt;""),),0)),"")</f>
        <v/>
      </c>
      <c r="EK24" s="88" t="str">
        <f t="shared" ref="EK24" si="277">IF(F23="Hybrid - Thrust + 2 connections",IF(COUNTIF($EK23:$FN23,EK23)&gt;1,EK23,""),IF(COUNTIF($EK23:$FN23,EK23)&gt;5,EK23,""))</f>
        <v/>
      </c>
      <c r="EL24" s="88" t="str">
        <f t="shared" ref="EL24" si="278">IF(G23="Hybrid - Thrust + 2 connections",IF(COUNTIF($EK23:$FN23,EL23)&gt;1,EL23,""),IF(COUNTIF($EK23:$FN23,EL23)&gt;5,EL23,""))</f>
        <v/>
      </c>
      <c r="EM24" s="88" t="str">
        <f t="shared" ref="EM24" si="279">IF(H23="Hybrid - Thrust + 2 connections",IF(COUNTIF($EK23:$FN23,EM23)&gt;1,EM23,""),IF(COUNTIF($EK23:$FN23,EM23)&gt;5,EM23,""))</f>
        <v/>
      </c>
      <c r="EN24" s="88" t="str">
        <f t="shared" ref="EN24" si="280">IF(I23="Hybrid - Thrust + 2 connections",IF(COUNTIF($EK23:$FN23,EN23)&gt;1,EN23,""),IF(COUNTIF($EK23:$FN23,EN23)&gt;5,EN23,""))</f>
        <v/>
      </c>
      <c r="EO24" s="88" t="str">
        <f t="shared" ref="EO24" si="281">IF(J23="Hybrid - Thrust + 2 connections",IF(COUNTIF($EK23:$FN23,EO23)&gt;1,EO23,""),IF(COUNTIF($EK23:$FN23,EO23)&gt;5,EO23,""))</f>
        <v/>
      </c>
      <c r="EP24" s="88" t="str">
        <f t="shared" ref="EP24" si="282">IF(K23="Hybrid - Thrust + 2 connections",IF(COUNTIF($EK23:$FN23,EP23)&gt;1,EP23,""),IF(COUNTIF($EK23:$FN23,EP23)&gt;5,EP23,""))</f>
        <v/>
      </c>
      <c r="EQ24" s="88" t="str">
        <f t="shared" ref="EQ24" si="283">IF(L23="Hybrid - Thrust + 2 connections",IF(COUNTIF($EK23:$FN23,EQ23)&gt;1,EQ23,""),IF(COUNTIF($EK23:$FN23,EQ23)&gt;5,EQ23,""))</f>
        <v/>
      </c>
      <c r="ER24" s="88" t="str">
        <f t="shared" ref="ER24" si="284">IF(M23="Hybrid - Thrust + 2 connections",IF(COUNTIF($EK23:$FN23,ER23)&gt;1,ER23,""),IF(COUNTIF($EK23:$FN23,ER23)&gt;5,ER23,""))</f>
        <v/>
      </c>
      <c r="ES24" s="88" t="str">
        <f t="shared" ref="ES24" si="285">IF(N23="Hybrid - Thrust + 2 connections",IF(COUNTIF($EK23:$FN23,ES23)&gt;1,ES23,""),IF(COUNTIF($EK23:$FN23,ES23)&gt;5,ES23,""))</f>
        <v/>
      </c>
      <c r="ET24" s="88" t="str">
        <f t="shared" ref="ET24" si="286">IF(O23="Hybrid - Thrust + 2 connections",IF(COUNTIF($EK23:$FN23,ET23)&gt;1,ET23,""),IF(COUNTIF($EK23:$FN23,ET23)&gt;5,ET23,""))</f>
        <v/>
      </c>
      <c r="EU24" s="88" t="str">
        <f t="shared" ref="EU24" si="287">IF(P23="Hybrid - Thrust + 2 connections",IF(COUNTIF($EK23:$FN23,EU23)&gt;1,EU23,""),IF(COUNTIF($EK23:$FN23,EU23)&gt;5,EU23,""))</f>
        <v/>
      </c>
      <c r="EV24" s="88" t="str">
        <f t="shared" ref="EV24" si="288">IF(Q23="Hybrid - Thrust + 2 connections",IF(COUNTIF($EK23:$FN23,EV23)&gt;1,EV23,""),IF(COUNTIF($EK23:$FN23,EV23)&gt;5,EV23,""))</f>
        <v/>
      </c>
      <c r="EW24" s="88" t="str">
        <f t="shared" ref="EW24" si="289">IF(R23="Hybrid - Thrust + 2 connections",IF(COUNTIF($EK23:$FN23,EW23)&gt;1,EW23,""),IF(COUNTIF($EK23:$FN23,EW23)&gt;5,EW23,""))</f>
        <v/>
      </c>
      <c r="EX24" s="88" t="str">
        <f t="shared" ref="EX24" si="290">IF(S23="Hybrid - Thrust + 2 connections",IF(COUNTIF($EK23:$FN23,EX23)&gt;1,EX23,""),IF(COUNTIF($EK23:$FN23,EX23)&gt;5,EX23,""))</f>
        <v/>
      </c>
      <c r="EY24" s="88" t="str">
        <f t="shared" ref="EY24" si="291">IF(T23="Hybrid - Thrust + 2 connections",IF(COUNTIF($EK23:$FN23,EY23)&gt;1,EY23,""),IF(COUNTIF($EK23:$FN23,EY23)&gt;5,EY23,""))</f>
        <v/>
      </c>
      <c r="EZ24" s="88" t="str">
        <f t="shared" ref="EZ24" si="292">IF(U23="Hybrid - Thrust + 2 connections",IF(COUNTIF($EK23:$FN23,EZ23)&gt;1,EZ23,""),IF(COUNTIF($EK23:$FN23,EZ23)&gt;5,EZ23,""))</f>
        <v/>
      </c>
      <c r="FA24" s="88" t="str">
        <f t="shared" ref="FA24" si="293">IF(V23="Hybrid - Thrust + 2 connections",IF(COUNTIF($EK23:$FN23,FA23)&gt;1,FA23,""),IF(COUNTIF($EK23:$FN23,FA23)&gt;5,FA23,""))</f>
        <v/>
      </c>
      <c r="FB24" s="88" t="str">
        <f t="shared" ref="FB24" si="294">IF(W23="Hybrid - Thrust + 2 connections",IF(COUNTIF($EK23:$FN23,FB23)&gt;1,FB23,""),IF(COUNTIF($EK23:$FN23,FB23)&gt;5,FB23,""))</f>
        <v/>
      </c>
      <c r="FC24" s="88" t="str">
        <f t="shared" ref="FC24" si="295">IF(X23="Hybrid - Thrust + 2 connections",IF(COUNTIF($EK23:$FN23,FC23)&gt;1,FC23,""),IF(COUNTIF($EK23:$FN23,FC23)&gt;5,FC23,""))</f>
        <v/>
      </c>
      <c r="FD24" s="88" t="str">
        <f t="shared" ref="FD24" si="296">IF(Y23="Hybrid - Thrust + 2 connections",IF(COUNTIF($EK23:$FN23,FD23)&gt;1,FD23,""),IF(COUNTIF($EK23:$FN23,FD23)&gt;5,FD23,""))</f>
        <v/>
      </c>
      <c r="FE24" s="88" t="str">
        <f t="shared" ref="FE24" si="297">IF(Z23="Hybrid - Thrust + 2 connections",IF(COUNTIF($EK23:$FN23,FE23)&gt;1,FE23,""),IF(COUNTIF($EK23:$FN23,FE23)&gt;5,FE23,""))</f>
        <v/>
      </c>
      <c r="FF24" s="88" t="str">
        <f t="shared" ref="FF24" si="298">IF(AA23="Hybrid - Thrust + 2 connections",IF(COUNTIF($EK23:$FN23,FF23)&gt;1,FF23,""),IF(COUNTIF($EK23:$FN23,FF23)&gt;5,FF23,""))</f>
        <v/>
      </c>
      <c r="FG24" s="88" t="str">
        <f t="shared" ref="FG24" si="299">IF(AB23="Hybrid - Thrust + 2 connections",IF(COUNTIF($EK23:$FN23,FG23)&gt;1,FG23,""),IF(COUNTIF($EK23:$FN23,FG23)&gt;5,FG23,""))</f>
        <v/>
      </c>
      <c r="FH24" s="88" t="str">
        <f t="shared" ref="FH24" si="300">IF(AC23="Hybrid - Thrust + 2 connections",IF(COUNTIF($EK23:$FN23,FH23)&gt;1,FH23,""),IF(COUNTIF($EK23:$FN23,FH23)&gt;5,FH23,""))</f>
        <v/>
      </c>
      <c r="FI24" s="88" t="str">
        <f t="shared" ref="FI24" si="301">IF(AD23="Hybrid - Thrust + 2 connections",IF(COUNTIF($EK23:$FN23,FI23)&gt;1,FI23,""),IF(COUNTIF($EK23:$FN23,FI23)&gt;5,FI23,""))</f>
        <v/>
      </c>
      <c r="FJ24" s="88" t="str">
        <f t="shared" ref="FJ24" si="302">IF(AE23="Hybrid - Thrust + 2 connections",IF(COUNTIF($EK23:$FN23,FJ23)&gt;1,FJ23,""),IF(COUNTIF($EK23:$FN23,FJ23)&gt;5,FJ23,""))</f>
        <v/>
      </c>
      <c r="FK24" s="88" t="str">
        <f t="shared" ref="FK24" si="303">IF(AF23="Hybrid - Thrust + 2 connections",IF(COUNTIF($EK23:$FN23,FK23)&gt;1,FK23,""),IF(COUNTIF($EK23:$FN23,FK23)&gt;5,FK23,""))</f>
        <v/>
      </c>
      <c r="FL24" s="88" t="str">
        <f t="shared" ref="FL24" si="304">IF(AG23="Hybrid - Thrust + 2 connections",IF(COUNTIF($EK23:$FN23,FL23)&gt;1,FL23,""),IF(COUNTIF($EK23:$FN23,FL23)&gt;5,FL23,""))</f>
        <v/>
      </c>
      <c r="FM24" s="88" t="str">
        <f t="shared" ref="FM24" si="305">IF(AH23="Hybrid - Thrust + 2 connections",IF(COUNTIF($EK23:$FN23,FM23)&gt;1,FM23,""),IF(COUNTIF($EK23:$FN23,FM23)&gt;5,FM23,""))</f>
        <v/>
      </c>
      <c r="FN24" s="88" t="str">
        <f t="shared" ref="FN24" si="306">IF(AI23="Hybrid - Thrust + 2 connections",IF(COUNTIF($EK23:$FN23,FN23)&gt;1,FN23,""),IF(COUNTIF($EK23:$FN23,FN23)&gt;5,FN23,""))</f>
        <v/>
      </c>
      <c r="FO24" s="88">
        <f t="shared" ref="FO24" si="307">FO22+5</f>
        <v>10</v>
      </c>
      <c r="FP24" s="88" t="str" cm="1">
        <f t="array" ref="FP24">IF(FQ24&lt;&gt;"",LEFT(FQ24,FIND("*",FQ24)-1),INDEX($FP$75:$FP$172,FO24+1))</f>
        <v/>
      </c>
      <c r="FQ24" s="88" t="str" cm="1">
        <f t="array" ref="FQ24">INDEX($FQ$75:$FQ$172,FO24+1)</f>
        <v/>
      </c>
      <c r="FR24" s="285"/>
      <c r="FS24" s="285"/>
      <c r="FT24" s="285"/>
      <c r="FU24" s="285"/>
      <c r="FV24" s="285"/>
      <c r="FW24" s="285"/>
      <c r="FX24" s="285"/>
      <c r="FY24" s="285"/>
      <c r="FZ24" s="285"/>
      <c r="GA24" s="285"/>
      <c r="GB24" s="285"/>
      <c r="GC24" s="285"/>
      <c r="GD24" s="285"/>
      <c r="GE24" s="285"/>
      <c r="GF24" s="285"/>
      <c r="GG24" s="285"/>
      <c r="GH24" s="285"/>
      <c r="GI24" s="285"/>
      <c r="GJ24" s="285"/>
      <c r="GK24" s="285"/>
      <c r="GL24" s="285"/>
      <c r="GM24" s="285"/>
      <c r="GN24" s="285"/>
      <c r="GO24" s="285"/>
      <c r="GP24" s="285"/>
      <c r="GQ24" s="285"/>
      <c r="GR24" s="285"/>
      <c r="GS24" s="285"/>
      <c r="GT24" s="285"/>
      <c r="GU24" s="285"/>
      <c r="GV24" s="88"/>
      <c r="GW24" s="88"/>
      <c r="GX24" s="88"/>
      <c r="GY24" s="88"/>
      <c r="GZ24" s="88"/>
      <c r="HA24" s="88"/>
      <c r="HB24" s="88"/>
      <c r="HC24" s="88"/>
      <c r="HD24" s="88" t="str">
        <f>IF($F23="Hybrid - Thrust + 2 connections",COUNTBLANK(J23:L23),"")</f>
        <v/>
      </c>
      <c r="HE24" s="88"/>
      <c r="HF24" s="91"/>
      <c r="HG24" s="91"/>
      <c r="HH24" s="91"/>
      <c r="HI24" s="91"/>
    </row>
    <row r="25" spans="1:222" ht="12.75" customHeight="1" x14ac:dyDescent="0.35">
      <c r="A25" s="28" t="str">
        <f>IF(AND(E23="",A23&lt;&gt;""),IF(CP23=$CP$18,"",IF(C23&lt;&gt;"",IF(D23=59,MINUTE(CP23)+1,MINUTE(CP23)),"")),"")</f>
        <v/>
      </c>
      <c r="B25" s="29" t="str">
        <f>IF(AND(E23="",B23&lt;&gt;""),IF(CP23=$CP$18,"",IF(C23&lt;&gt;"",IF(D23=59,0,SECOND(CP23)+1),"")),"")</f>
        <v/>
      </c>
      <c r="C25" s="39"/>
      <c r="D25" s="39"/>
      <c r="E25" s="9"/>
      <c r="F25" s="40"/>
      <c r="G25" s="31" t="str">
        <f>IF(F25&lt;&gt;"",IF(OR(F25="Transition",F25="Transition - Surface Connection"),0,MAX($G$19:G24)+1),"")</f>
        <v/>
      </c>
      <c r="H25" s="43" t="str">
        <f>IFERROR(IF(E26="3","",IF(OR(F25="Hybrid - Choreography (DD = 1)",LEFT(F25,5)="Trans"),"No DD",CONCATENATE("BM = ",I26))),"")</f>
        <v/>
      </c>
      <c r="I25" s="44"/>
      <c r="J25" s="109"/>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58"/>
      <c r="AO25" s="32"/>
      <c r="AP25" s="61"/>
      <c r="AQ25" s="61"/>
      <c r="AR25" s="90"/>
      <c r="AS25" s="90"/>
      <c r="AT25" s="90"/>
      <c r="AU25" s="90"/>
      <c r="AV25" s="90"/>
      <c r="AW25" s="91" t="str">
        <f t="shared" ref="AW25" si="308">E26</f>
        <v/>
      </c>
      <c r="AX25" s="94" t="str">
        <f t="shared" ref="AX25" si="309">IF(AY25=0,"",TIME(0,A25,B25))</f>
        <v/>
      </c>
      <c r="AY25" s="94">
        <f t="shared" ref="AY25" si="310">TIME(0,C25,D25)</f>
        <v>0</v>
      </c>
      <c r="AZ25" s="94" t="str">
        <f t="shared" ref="AZ25" si="311">IFERROR(AY25-AX25,"")</f>
        <v/>
      </c>
      <c r="BA25" s="237" t="str">
        <f t="shared" ref="BA25" si="312">IF($AX$17=0,"",IF(AND($C$10&lt;&gt;"",AW25="H",AZ25&gt;$AX$17),"X",""))</f>
        <v/>
      </c>
      <c r="BB25" s="90"/>
      <c r="BC25" s="90"/>
      <c r="BD25" s="90"/>
      <c r="BE25" s="90"/>
      <c r="BF25" s="90"/>
      <c r="BG25" s="90" t="str">
        <f>IFERROR(IF(F25&lt;&gt;"",INDEX(Parts_Active,MATCH(F25,Parts_Active,0)),""),"No")</f>
        <v/>
      </c>
      <c r="BH25" s="90"/>
      <c r="BI25" s="90" t="str">
        <f>IF($E26="H",IF($F25="Hybrid - Thrust + 2 connections","Hybrid_Mix_Req",IF($F25="Hybrid - Choreography (DD = 1)","Hybrid_ChoHY","HybridDD_Code")),IF($E26=3,"TreDD_Code",IF($E26="PA","AcroPair_Code",IF(LEFT($F25,4)="Acro",CONCATENATE(BI$16,$E26,"_Code"),"Data!$BI$1:$BI$5"))))</f>
        <v>Data!$BI$1:$BI$5</v>
      </c>
      <c r="BJ25" s="90" t="str">
        <f t="shared" ref="BJ25" si="313">IF($E26="H",IF($F25="Hybrid - Thrust + 2 connections","Hybrid_Mix_Req",IF($F25="Hybrid - min 4 swimmers (no DD)","Data!$BI$1:$BI$5","HybridDD_Code")),IF($E26=3,"TreDD_Code",IF($E26="PA","AcroPair_Code",IF(LEFT($F25,4)="Acro",CONCATENATE(BJ$16,$E26,"_Code"),"Data!$BI$1:$BI$5"))))</f>
        <v>Data!$BI$1:$BI$5</v>
      </c>
      <c r="BK25" s="90" t="str">
        <f t="shared" si="6"/>
        <v>Data!$BI$1:$BI$5</v>
      </c>
      <c r="BL25" s="90" t="str">
        <f t="shared" si="6"/>
        <v>Data!$BI$1:$BI$5</v>
      </c>
      <c r="BM25" s="90" t="str">
        <f t="shared" si="6"/>
        <v>Data!$BI$1:$BI$5</v>
      </c>
      <c r="BN25" s="90" t="str">
        <f t="shared" si="6"/>
        <v>Data!$BI$1:$BI$5</v>
      </c>
      <c r="BO25" s="90" t="str">
        <f t="shared" si="6"/>
        <v>Data!$BI$1:$BI$5</v>
      </c>
      <c r="BP25" s="90" t="str">
        <f t="shared" si="6"/>
        <v>Data!$BI$1:$BI$5</v>
      </c>
      <c r="BQ25" s="90" t="str">
        <f t="shared" si="6"/>
        <v>Data!$BI$1:$BI$5</v>
      </c>
      <c r="BR25" s="90" t="str">
        <f t="shared" ref="BR25" si="314">IF($E26="H",IF($F25="Hybrid - Thrust + 2 connections","Data!$BI$1:$BI$5","HybridDD_Code"),"Data!$BI$1:$BI$5")</f>
        <v>Data!$BI$1:$BI$5</v>
      </c>
      <c r="BS25" s="90" t="str">
        <f t="shared" si="7"/>
        <v>Data!$BI$1:$BI$5</v>
      </c>
      <c r="BT25" s="90" t="str">
        <f t="shared" si="7"/>
        <v>Data!$BI$1:$BI$5</v>
      </c>
      <c r="BU25" s="90" t="str">
        <f t="shared" si="7"/>
        <v>Data!$BI$1:$BI$5</v>
      </c>
      <c r="BV25" s="90" t="str">
        <f t="shared" si="7"/>
        <v>Data!$BI$1:$BI$5</v>
      </c>
      <c r="BW25" s="90" t="str">
        <f t="shared" si="7"/>
        <v>Data!$BI$1:$BI$5</v>
      </c>
      <c r="BX25" s="90" t="str">
        <f t="shared" si="7"/>
        <v>Data!$BI$1:$BI$5</v>
      </c>
      <c r="BY25" s="90" t="str">
        <f t="shared" si="7"/>
        <v>Data!$BI$1:$BI$5</v>
      </c>
      <c r="BZ25" s="90" t="str">
        <f t="shared" si="7"/>
        <v>Data!$BI$1:$BI$5</v>
      </c>
      <c r="CA25" s="90" t="str">
        <f t="shared" si="7"/>
        <v>Data!$BI$1:$BI$5</v>
      </c>
      <c r="CB25" s="90" t="str">
        <f t="shared" si="7"/>
        <v>Data!$BI$1:$BI$5</v>
      </c>
      <c r="CC25" s="90" t="str">
        <f t="shared" si="7"/>
        <v>Data!$BI$1:$BI$5</v>
      </c>
      <c r="CD25" s="90" t="str">
        <f t="shared" si="7"/>
        <v>Data!$BI$1:$BI$5</v>
      </c>
      <c r="CE25" s="90" t="str">
        <f t="shared" si="7"/>
        <v>Data!$BI$1:$BI$5</v>
      </c>
      <c r="CF25" s="90" t="str">
        <f t="shared" si="7"/>
        <v>Data!$BI$1:$BI$5</v>
      </c>
      <c r="CG25" s="90" t="str">
        <f t="shared" si="7"/>
        <v>Data!$BI$1:$BI$5</v>
      </c>
      <c r="CH25" s="90" t="str">
        <f t="shared" si="7"/>
        <v>Data!$BI$1:$BI$5</v>
      </c>
      <c r="CI25" s="90" t="str">
        <f t="shared" si="8"/>
        <v>Data!$BI$1:$BI$5</v>
      </c>
      <c r="CJ25" s="90" t="str">
        <f t="shared" si="8"/>
        <v>Data!$BI$1:$BI$5</v>
      </c>
      <c r="CK25" s="90" t="str">
        <f t="shared" si="8"/>
        <v>Data!$BI$1:$BI$5</v>
      </c>
      <c r="CL25" s="90" t="str">
        <f t="shared" si="8"/>
        <v>Data!$BI$1:$BI$5</v>
      </c>
      <c r="CM25" s="90"/>
      <c r="CN25" s="90"/>
      <c r="CO25" s="93" t="str">
        <f>IFERROR(TIME(0,A25,B25),"")</f>
        <v/>
      </c>
      <c r="CP25" s="94">
        <f>IFERROR(TIME(0,C25,D25),"")</f>
        <v>0</v>
      </c>
      <c r="CQ25" s="94" t="str">
        <f t="shared" ref="CQ25" si="315">IF(CP25&gt;$D$12,"X","")</f>
        <v/>
      </c>
      <c r="CR25" s="88" t="str">
        <f>IF(AND(F25="Hybrid - Thrust + 2 connections",OR(LEFT(J25,1)="T",LEFT(K25,1)="T",LEFT(L25,1)="T",LEFT(PB25,1)="T",LEFT(M25,1)="T",LEFT(N25,1)="T",LEFT(O25,1)="T",LEFT(P25,1)="T",LEFT(Q25,1)="T",LEFT(R25,1)="T",LEFT(S25,1)="T",LEFT(T25,1)="T",LEFT(U25,1)="T",LEFT(V25,1)="T",LEFT(W25,1)="T",LEFT(X25,1)="T",LEFT(AK25,1)="T",LEFT(AL25,1)="T",LEFT(AM25,1)="T")),IF(OR(LEN(J25)=2,LEN(K25)=2,LEN(L25)=2,LEN(M25)=2,LEN(N25)=2,LEN(O25)=2,LEN(P25)=2,LEN(Q25)=2,LEN(R25)=2,LEN(S25)=2,LEN(T25)=2,LEN(U25)=2,LEN(V25)=2,LEN(W25)=2,LEN(X25)=2,LEN(Y25)=2,LEN(Z25)=2,LEN(AK25)=2,LEN(AL25)=2,LEN(AM25)=2),"X",""),"")</f>
        <v/>
      </c>
      <c r="CS25" s="91"/>
      <c r="CT25" s="88" t="str">
        <f>IF(LEFT(F25,4)="Acro",IF(AND(N25&lt;&gt;"",M25=RIGHT(N25,2)),"X","OK"),"")</f>
        <v/>
      </c>
      <c r="CU25" s="90" t="str">
        <f t="shared" ref="CU25:DB25" si="316">IFERROR(IF(AND(LEFT($F25,4)="Acro",INDEX(Requ_App,MATCH(BI25,Requ_Code,0))="No"),"X",""),"")</f>
        <v/>
      </c>
      <c r="CV25" s="90" t="str">
        <f t="shared" si="316"/>
        <v/>
      </c>
      <c r="CW25" s="90" t="str">
        <f t="shared" si="316"/>
        <v/>
      </c>
      <c r="CX25" s="90" t="str">
        <f t="shared" si="316"/>
        <v/>
      </c>
      <c r="CY25" s="90" t="str">
        <f t="shared" si="316"/>
        <v/>
      </c>
      <c r="CZ25" s="90" t="str">
        <f t="shared" si="316"/>
        <v/>
      </c>
      <c r="DA25" s="90" t="str">
        <f t="shared" si="316"/>
        <v/>
      </c>
      <c r="DB25" s="90" t="str">
        <f t="shared" si="316"/>
        <v/>
      </c>
      <c r="DC25" s="90" t="str">
        <f>IFERROR(IF(AND(LEFT($F25,4)="Acro",INDEX(Requ_App,MATCH(BP25,Requ_Code,0))="No"),"X",""),"")</f>
        <v/>
      </c>
      <c r="DD25" s="88" t="str">
        <f t="shared" si="10"/>
        <v/>
      </c>
      <c r="DE25" s="88" t="str">
        <f t="shared" si="11"/>
        <v/>
      </c>
      <c r="DF25" s="88" t="str">
        <f t="shared" si="12"/>
        <v/>
      </c>
      <c r="DG25" s="88" t="str">
        <f t="shared" si="13"/>
        <v/>
      </c>
      <c r="DK25" s="88">
        <f t="shared" ref="DK25" si="317">IF(AND(E26="A",OR(Q25="Grip",Q25="Conn",Q25="Catch")),"A1",IF(AND(E26="A",OR(Q25="Hula",Q25="RetSq",Q25="RetPa")),"A2",IF(AND(E26="B",OR(Q25="Twirl",Q25="RotF")),"B1",IF(AND(E26="B",OR(Q25="Moon",Q25="Mov",Q25="Hold")),"B2",IF(AND(E26="P",OR(Q25="Porp",Q25="Splch")),"P1",IF(AND(E26="P",OR(Q25="Diva",Q25="Stand")),"P2",IF(AND(E26="P",OR(Q25="Spider",Q25="Climb")),"P3",IF(AND(E26="P",OR(Q25="Fall",Q25="FTurn")),"P4",IF(AND(E26="C",OR(Q25="Jump",Q25="Jump&gt;",Q25="On1Foot",Q25="1F&gt;1F")),"C1",IF(AND(E26="C",OR(Q25="Run",Q25="BRun")),"C2",1))))))))))</f>
        <v>1</v>
      </c>
      <c r="DL25" s="88">
        <f t="shared" ref="DL25" si="318">IF(AND(E26="A",OR(R25="Grip",R25="Conn",R25="Catch")),"A1",IF(AND(E26="A",OR(R25="Hula",R25="RetSq",R25="RetPa")),"A2",IF(AND(E26="B",OR(R25="Twirl",R25="RotF")),"B1",IF(AND(E26="B",OR(R25="Moon",R25="Mov",R25="Hold")),"B2",IF(AND(E26="P",OR(R25="Porp",R25="Spich")),"P1",IF(AND(E26="P",OR(R25="Diva",R25="Stand")),"P2",IF(AND(E26="P",OR(R25="Spider",R25="Climb")),"P3",IF(AND(E26="P",OR(R25="Fall",R25="FTurn")),"P4",IF(AND(E26="C",OR(R25="Jump",R25="Jump&gt;",R25="On1Foot",R25="1F&gt;1F")),"C1",IF(AND(E26="C",OR(R25="Run",R25="BRun")),"C2",2))))))))))</f>
        <v>2</v>
      </c>
      <c r="DM25" s="88" t="str">
        <f t="shared" ref="DM25" si="319">IF(AND(N25="",OR(Q25&lt;&gt;"",R25&lt;&gt;"")),"X",IF(AND(LEFT(F25,4)="Acro",Q25&lt;&gt;"",OR(Q25=R25,DK25=DL25)),IF(R25="C-Roll","","X"),IF(OR(AND(E26="A",Q25="Catch",R25&lt;&gt;"Dbl"),AND(E26="A",R25="Catch",Q25&lt;&gt;"Dbl")),"X","")))</f>
        <v/>
      </c>
      <c r="DN25" s="88" t="str">
        <f>IF(E26="PA",J25,"")</f>
        <v/>
      </c>
      <c r="DO25" s="88">
        <v>7</v>
      </c>
      <c r="DQ25" s="88" t="str">
        <f>IF(AND($E26="A",COUNTIF($DZ$19:$EA$68,DZ25)&gt;1),DZ25,"")</f>
        <v/>
      </c>
      <c r="DR25" s="88" t="str">
        <f>IF(AND($E26="A",COUNTIF($DZ$19:$EA$68,EA25)&gt;1),EA25,"")</f>
        <v/>
      </c>
      <c r="DS25" s="88" t="str">
        <f ca="1">IF(AND($E26="B",COUNTIF($J$19:$J$68,J25)&gt;1),J25,"")</f>
        <v/>
      </c>
      <c r="DT25" s="88" t="str">
        <f ca="1">IF(AND($E26="B",COUNTIF($K$19:$K$68,K25)&gt;1),K25,"")</f>
        <v/>
      </c>
      <c r="DU25" s="88" t="str">
        <f ca="1">IF(AND($E26="C",COUNTIF($J$19:$J$68,J25)&gt;1),J25,"")</f>
        <v/>
      </c>
      <c r="DV25" s="88" t="str">
        <f ca="1">IF(AND($E26="P",COUNTIF($J$19:$J$68,J25)&gt;1),J25,"")</f>
        <v/>
      </c>
      <c r="DW25" s="88" t="str">
        <f ca="1">IF(AND($E26="P",COUNTIF($K$19:$K$68,K25)&gt;1),K25,"")</f>
        <v/>
      </c>
      <c r="DX25" s="88" t="str">
        <f>IF(AND($E26="P",COUNTIF($DZ$19:$EA$68,DZ25)&gt;1),DZ25,"")</f>
        <v/>
      </c>
      <c r="DY25" s="88" t="str">
        <f>IF(AND($E26="P",COUNTIF($DZ$19:$EA$68,EA25)&gt;1),EA25,"")</f>
        <v/>
      </c>
      <c r="DZ25" s="88" t="str">
        <f>IFERROR(IF(OR(E26="A",E26="P"),M25,""),"")</f>
        <v/>
      </c>
      <c r="EA25" s="88" t="str">
        <f>IFERROR(IF(OR(E26="A",E26="P"),RIGHT(N25,2),""),"")</f>
        <v/>
      </c>
      <c r="EB25" s="88" t="str">
        <f t="shared" ref="EB25" si="320">IF(Q25="","",IF(AND($E26="P",COUNTIF($Q$19:$R$68,Q25)&gt;1),Q25,""))</f>
        <v/>
      </c>
      <c r="EC25" s="88" t="str">
        <f t="shared" ref="EC25" si="321">IF(R25="","",IF(AND($E26="P",COUNTIF($Q$19:$R$68,R25)&gt;1),R25,""))</f>
        <v/>
      </c>
      <c r="ED25" s="88" t="str">
        <f t="shared" si="14"/>
        <v/>
      </c>
      <c r="EE25" s="88" t="str">
        <f t="shared" si="15"/>
        <v/>
      </c>
      <c r="EF25" s="88" t="str">
        <f t="shared" ref="EF25" si="322">IF(AND(OR($F$8="Open Team Acrobatic",$F$8="Open Team Technical"),LEFT(F25,4)="Acro"),E26,"")</f>
        <v/>
      </c>
      <c r="EG25" s="88" t="str">
        <f t="shared" ref="EG25" si="323">IF(EF25="","",IFERROR(IF($F$8="Open Team Acrobatic",IF(HLOOKUP(EF25,$DQ$12:$DT$13,2,FALSE)&gt;2,"X",""),IF(HLOOKUP(EF25,$DQ$12:$DT$13,2,FALSE)&gt;1,"X","")),""))</f>
        <v/>
      </c>
      <c r="EI25" s="88" t="str">
        <f t="shared" ref="EI25" si="324">IF(OR(AND(F25="Hybrid - Thrust + 2 connections",EI26="T"),AND(E26="H",EI26&lt;&gt;"",EI79="X")),"X","")</f>
        <v/>
      </c>
      <c r="EK25" s="88">
        <f t="shared" ref="EK25" si="325">IFERROR(IF(AND($E26="H",J25&lt;&gt;"",J25&lt;&gt;"ChoHY"),IF(OR(LEFT(J25,1)="T",LEFT(J25,1)="S",LEFT(J25,1)="A",LEFT(J25,1)="F",LEFT(J25,1)="C"),LEFT(J25,1),"R"),EK$18),"")</f>
        <v>1</v>
      </c>
      <c r="EL25" s="88">
        <f t="shared" ref="EL25" si="326">IFERROR(IF(AND($E26="H",K25&lt;&gt;""),IF(OR(LEFT(K25,1)="T",LEFT(K25,1)="S",LEFT(K25,1)="A",LEFT(K25,1)="F",LEFT(K25,1)="C"),LEFT(K25,1),"R"),EL$18),"")</f>
        <v>2</v>
      </c>
      <c r="EM25" s="88">
        <f t="shared" ref="EM25" si="327">IFERROR(IF(AND($E26="H",L25&lt;&gt;""),IF(OR(LEFT(L25,1)="T",LEFT(L25,1)="S",LEFT(L25,1)="A",LEFT(L25,1)="F",LEFT(L25,1)="C"),LEFT(L25,1),"R"),EM$18),"")</f>
        <v>3</v>
      </c>
      <c r="EN25" s="88">
        <f t="shared" ref="EN25" si="328">IFERROR(IF(AND($E26="H",M25&lt;&gt;""),IF(OR(LEFT(M25,1)="T",LEFT(M25,1)="S",LEFT(M25,1)="A",LEFT(M25,1)="F",LEFT(M25,1)="C"),LEFT(M25,1),"R"),EN$18),"")</f>
        <v>4</v>
      </c>
      <c r="EO25" s="88">
        <f t="shared" ref="EO25" si="329">IFERROR(IF(AND($E26="H",N25&lt;&gt;""),IF(OR(LEFT(N25,1)="T",LEFT(N25,1)="S",LEFT(N25,1)="A",LEFT(N25,1)="F",LEFT(N25,1)="C"),LEFT(N25,1),"R"),EO$18),"")</f>
        <v>5</v>
      </c>
      <c r="EP25" s="88">
        <f t="shared" ref="EP25" si="330">IFERROR(IF(AND($E26="H",O25&lt;&gt;""),IF(OR(LEFT(O25,1)="T",LEFT(O25,1)="S",LEFT(O25,1)="A",LEFT(O25,1)="F",LEFT(O25,1)="C"),LEFT(O25,1),"R"),EP$18),"")</f>
        <v>6</v>
      </c>
      <c r="EQ25" s="88">
        <f t="shared" ref="EQ25" si="331">IFERROR(IF(AND($E26="H",P25&lt;&gt;""),IF(OR(LEFT(P25,1)="T",LEFT(P25,1)="S",LEFT(P25,1)="A",LEFT(P25,1)="F",LEFT(P25,1)="C"),LEFT(P25,1),"R"),EQ$18),"")</f>
        <v>7</v>
      </c>
      <c r="ER25" s="88">
        <f t="shared" ref="ER25" si="332">IFERROR(IF(AND($E26="H",Q25&lt;&gt;""),IF(OR(LEFT(Q25,1)="T",LEFT(Q25,1)="S",LEFT(Q25,1)="A",LEFT(Q25,1)="F",LEFT(Q25,1)="C"),LEFT(Q25,1),"R"),ER$18),"")</f>
        <v>8</v>
      </c>
      <c r="ES25" s="88">
        <f t="shared" ref="ES25" si="333">IFERROR(IF(AND($E26="H",R25&lt;&gt;""),IF(OR(LEFT(R25,1)="T",LEFT(R25,1)="S",LEFT(R25,1)="A",LEFT(R25,1)="F",LEFT(R25,1)="C"),LEFT(R25,1),"R"),ES$18),"")</f>
        <v>9</v>
      </c>
      <c r="ET25" s="88">
        <f t="shared" ref="ET25" si="334">IFERROR(IF(AND($E26="H",S25&lt;&gt;""),IF(OR(LEFT(S25,1)="T",LEFT(S25,1)="S",LEFT(S25,1)="A",LEFT(S25,1)="F",LEFT(S25,1)="C"),LEFT(S25,1),"R"),ET$18),"")</f>
        <v>10</v>
      </c>
      <c r="EU25" s="88">
        <f t="shared" ref="EU25" si="335">IFERROR(IF(AND($E26="H",T25&lt;&gt;""),IF(OR(LEFT(T25,1)="T",LEFT(T25,1)="S",LEFT(T25,1)="A",LEFT(T25,1)="F",LEFT(T25,1)="C"),LEFT(T25,1),"R"),EU$18),"")</f>
        <v>11</v>
      </c>
      <c r="EV25" s="88">
        <f t="shared" ref="EV25" si="336">IFERROR(IF(AND($E26="H",U25&lt;&gt;""),IF(OR(LEFT(U25,1)="T",LEFT(U25,1)="S",LEFT(U25,1)="A",LEFT(U25,1)="F",LEFT(U25,1)="C"),LEFT(U25,1),"R"),EV$18),"")</f>
        <v>12</v>
      </c>
      <c r="EW25" s="88">
        <f t="shared" ref="EW25" si="337">IFERROR(IF(AND($E26="H",V25&lt;&gt;""),IF(OR(LEFT(V25,1)="T",LEFT(V25,1)="S",LEFT(V25,1)="A",LEFT(V25,1)="F",LEFT(V25,1)="C"),LEFT(V25,1),"R"),EW$18),"")</f>
        <v>13</v>
      </c>
      <c r="EX25" s="88">
        <f t="shared" ref="EX25" si="338">IFERROR(IF(AND($E26="H",W25&lt;&gt;""),IF(OR(LEFT(W25,1)="T",LEFT(W25,1)="S",LEFT(W25,1)="A",LEFT(W25,1)="F",LEFT(W25,1)="C"),LEFT(W25,1),"R"),EX$18),"")</f>
        <v>14</v>
      </c>
      <c r="EY25" s="88">
        <f t="shared" ref="EY25" si="339">IFERROR(IF(AND($E26="H",X25&lt;&gt;""),IF(OR(LEFT(X25,1)="T",LEFT(X25,1)="S",LEFT(X25,1)="A",LEFT(X25,1)="F",LEFT(X25,1)="C"),LEFT(X25,1),"R"),EY$18),"")</f>
        <v>15</v>
      </c>
      <c r="EZ25" s="88">
        <f t="shared" ref="EZ25" si="340">IFERROR(IF(AND($E26="H",Y25&lt;&gt;""),IF(OR(LEFT(Y25,1)="T",LEFT(Y25,1)="S",LEFT(Y25,1)="A",LEFT(Y25,1)="F",LEFT(Y25,1)="C"),LEFT(Y25,1),"R"),EZ$18),"")</f>
        <v>16</v>
      </c>
      <c r="FA25" s="88">
        <f t="shared" ref="FA25" si="341">IFERROR(IF(AND($E26="H",Z25&lt;&gt;""),IF(OR(LEFT(Z25,1)="T",LEFT(Z25,1)="S",LEFT(Z25,1)="A",LEFT(Z25,1)="F",LEFT(Z25,1)="C"),LEFT(Z25,1),"R"),FA$18),"")</f>
        <v>17</v>
      </c>
      <c r="FB25" s="88">
        <f t="shared" ref="FB25" si="342">IFERROR(IF(AND($E26="H",AA25&lt;&gt;""),IF(OR(LEFT(AA25,1)="T",LEFT(AA25,1)="S",LEFT(AA25,1)="A",LEFT(AA25,1)="F",LEFT(AA25,1)="C"),LEFT(AA25,1),"R"),FB$18),"")</f>
        <v>18</v>
      </c>
      <c r="FC25" s="88">
        <f t="shared" ref="FC25" si="343">IFERROR(IF(AND($E26="H",AB25&lt;&gt;""),IF(OR(LEFT(AB25,1)="T",LEFT(AB25,1)="S",LEFT(AB25,1)="A",LEFT(AB25,1)="F",LEFT(AB25,1)="C"),LEFT(AB25,1),"R"),FC$18),"")</f>
        <v>19</v>
      </c>
      <c r="FD25" s="88">
        <f t="shared" ref="FD25" si="344">IFERROR(IF(AND($E26="H",AC25&lt;&gt;""),IF(OR(LEFT(AC25,1)="T",LEFT(AC25,1)="S",LEFT(AC25,1)="A",LEFT(AC25,1)="F",LEFT(AC25,1)="C"),LEFT(AC25,1),"R"),FD$18),"")</f>
        <v>20</v>
      </c>
      <c r="FE25" s="88">
        <f t="shared" ref="FE25" si="345">IFERROR(IF(AND($E26="H",AD25&lt;&gt;""),IF(OR(LEFT(AD25,1)="T",LEFT(AD25,1)="S",LEFT(AD25,1)="A",LEFT(AD25,1)="F",LEFT(AD25,1)="C"),LEFT(AD25,1),"R"),FE$18),"")</f>
        <v>21</v>
      </c>
      <c r="FF25" s="88">
        <f t="shared" ref="FF25" si="346">IFERROR(IF(AND($E26="H",AE25&lt;&gt;""),IF(OR(LEFT(AE25,1)="T",LEFT(AE25,1)="S",LEFT(AE25,1)="A",LEFT(AE25,1)="F",LEFT(AE25,1)="C"),LEFT(AE25,1),"R"),FF$18),"")</f>
        <v>22</v>
      </c>
      <c r="FG25" s="88">
        <f t="shared" ref="FG25" si="347">IFERROR(IF(AND($E26="H",AF25&lt;&gt;""),IF(OR(LEFT(AF25,1)="T",LEFT(AF25,1)="S",LEFT(AF25,1)="A",LEFT(AF25,1)="F",LEFT(AF25,1)="C"),LEFT(AF25,1),"R"),FG$18),"")</f>
        <v>23</v>
      </c>
      <c r="FH25" s="88">
        <f t="shared" ref="FH25" si="348">IFERROR(IF(AND($E26="H",AG25&lt;&gt;""),IF(OR(LEFT(AG25,1)="T",LEFT(AG25,1)="S",LEFT(AG25,1)="A",LEFT(AG25,1)="F",LEFT(AG25,1)="C"),LEFT(AG25,1),"R"),FH$18),"")</f>
        <v>24</v>
      </c>
      <c r="FI25" s="88">
        <f t="shared" ref="FI25" si="349">IFERROR(IF(AND($E26="H",AH25&lt;&gt;""),IF(OR(LEFT(AH25,1)="T",LEFT(AH25,1)="S",LEFT(AH25,1)="A",LEFT(AH25,1)="F",LEFT(AH25,1)="C"),LEFT(AH25,1),"R"),FI$18),"")</f>
        <v>25</v>
      </c>
      <c r="FJ25" s="88">
        <f t="shared" ref="FJ25" si="350">IFERROR(IF(AND($E26="H",AI25&lt;&gt;""),IF(OR(LEFT(AI25,1)="T",LEFT(AI25,1)="S",LEFT(AI25,1)="A",LEFT(AI25,1)="F",LEFT(AI25,1)="C"),LEFT(AI25,1),"R"),FJ$18),"")</f>
        <v>26</v>
      </c>
      <c r="FK25" s="88">
        <f t="shared" ref="FK25" si="351">IFERROR(IF(AND($E26="H",AJ25&lt;&gt;""),IF(OR(LEFT(AJ25,1)="T",LEFT(AJ25,1)="S",LEFT(AJ25,1)="A",LEFT(AJ25,1)="F",LEFT(AJ25,1)="C"),LEFT(AJ25,1),"R"),FK$18),"")</f>
        <v>27</v>
      </c>
      <c r="FL25" s="88">
        <f t="shared" ref="FL25" si="352">IFERROR(IF(AND($E26="H",AK25&lt;&gt;""),IF(OR(LEFT(AK25,1)="T",LEFT(AK25,1)="S",LEFT(AK25,1)="A",LEFT(AK25,1)="F",LEFT(AK25,1)="C"),LEFT(AK25,1),"R"),FL$18),"")</f>
        <v>28</v>
      </c>
      <c r="FM25" s="88">
        <f t="shared" ref="FM25" si="353">IFERROR(IF(AND($E26="H",AL25&lt;&gt;""),IF(OR(LEFT(AL25,1)="T",LEFT(AL25,1)="S",LEFT(AL25,1)="A",LEFT(AL25,1)="F",LEFT(AL25,1)="C"),LEFT(AL25,1),"R"),FM$18),"")</f>
        <v>29</v>
      </c>
      <c r="FN25" s="88">
        <f t="shared" ref="FN25" si="354">IFERROR(IF(AND($E26="H",AM25&lt;&gt;""),IF(OR(LEFT(AM25,1)="T",LEFT(AM25,1)="S",LEFT(AM25,1)="A",LEFT(AM25,1)="F",LEFT(AM25,1)="C"),LEFT(AM25,1),"R"),FN$18),"")</f>
        <v>30</v>
      </c>
      <c r="FO25" s="88"/>
      <c r="FP25" s="88"/>
      <c r="FQ25" s="88"/>
      <c r="FR25" s="285"/>
      <c r="FS25" s="285"/>
      <c r="FT25" s="285"/>
      <c r="FU25" s="285"/>
      <c r="FV25" s="285"/>
      <c r="FW25" s="285"/>
      <c r="FX25" s="285"/>
      <c r="FY25" s="285"/>
      <c r="FZ25" s="285"/>
      <c r="GA25" s="285"/>
      <c r="GB25" s="285"/>
      <c r="GC25" s="285"/>
      <c r="GD25" s="285"/>
      <c r="GE25" s="285"/>
      <c r="GF25" s="285"/>
      <c r="GG25" s="285"/>
      <c r="GH25" s="285"/>
      <c r="GI25" s="285"/>
      <c r="GJ25" s="285"/>
      <c r="GK25" s="285"/>
      <c r="GL25" s="285"/>
      <c r="GM25" s="285"/>
      <c r="GN25" s="285"/>
      <c r="GO25" s="285"/>
      <c r="GP25" s="285"/>
      <c r="GQ25" s="285"/>
      <c r="GR25" s="285"/>
      <c r="GS25" s="285"/>
      <c r="GT25" s="285"/>
      <c r="GU25" s="285"/>
      <c r="GV25" s="88"/>
      <c r="GW25" s="88">
        <f t="shared" ref="GW25" si="355">COUNTIF($EK25:$FN25,GW$18)</f>
        <v>0</v>
      </c>
      <c r="GX25" s="88">
        <f t="shared" si="29"/>
        <v>0</v>
      </c>
      <c r="GY25" s="88">
        <f t="shared" si="29"/>
        <v>0</v>
      </c>
      <c r="GZ25" s="88">
        <f t="shared" si="29"/>
        <v>0</v>
      </c>
      <c r="HA25" s="88">
        <f t="shared" si="29"/>
        <v>0</v>
      </c>
      <c r="HB25" s="88">
        <f t="shared" si="29"/>
        <v>0</v>
      </c>
      <c r="HC25" s="88"/>
      <c r="HD25" s="88" t="str">
        <f t="shared" ref="HD25" si="356">IF(AND($F25="Hybrid - Thrust + 2 connections",HD26=0,LEFT($J25,1)="C",LEFT($K25,1)="C",LEFT($L25,1)="C"),"X","")</f>
        <v/>
      </c>
      <c r="HE25" s="88"/>
      <c r="HF25" s="91"/>
      <c r="HG25" s="100"/>
      <c r="HH25" s="100"/>
      <c r="HI25" s="91" t="str">
        <f t="shared" ref="HI25" si="357">IF(E26=3,IF(_xlfn.NUMBERVALUE(LEFT(J25,1))&gt;0,_xlfn.NUMBERVALUE(LEFT(J25,1)),""),"")</f>
        <v/>
      </c>
      <c r="HK25" s="91" t="str">
        <f t="shared" ref="HK25" si="358">IF(OR(E26="B",E26="P"),E26,"")</f>
        <v/>
      </c>
      <c r="HL25" s="91" t="str">
        <f>IF(AND(J25&lt;&gt;"",HK25&lt;&gt;""),IF(HK25="B",MATCH(J25,AcroDD!$U$3:$AE$3,0),MATCH(J25,AcroDD!$U$30:$AC$30,0)),"")</f>
        <v/>
      </c>
      <c r="HM25" s="91" t="str">
        <f t="shared" ref="HM25" si="359">IF(AND(K25&lt;&gt;"",HK25&lt;&gt;""),K25,"")</f>
        <v/>
      </c>
      <c r="HN25" s="91" t="str">
        <f>_xlfn.LET(_xlpm.lista,IF(HK25="B",INDEX(AcroDD!$T$4:$AE$23,0,HL25+1),INDEX(AcroDD!$T$31:$AC$50,0,HL25+1)),IF(AND(OR(HK25="B",HK25="P"),HL25&lt;&gt;"",HM25&lt;&gt;""),IF(ISNUMBER(MATCH(HM25,_xlpm.lista,0)),"OK","X"),""))</f>
        <v/>
      </c>
    </row>
    <row r="26" spans="1:222" ht="12.75" customHeight="1" x14ac:dyDescent="0.35">
      <c r="A26" s="28"/>
      <c r="B26" s="29"/>
      <c r="C26" s="29"/>
      <c r="D26" s="29"/>
      <c r="E26" s="17" t="str">
        <f>IF(F25="Acrobatic - Pair","PA",IF(F25="Acrobatic Airborn","A",IF(F25="Acrobatic Balance","B",IF(F25="Acrobatic Combined","C",IF(F25="Acrobatic Platform","P",IF(F25="Technical Required Element",3,IF(LEFT(F25,4)="Hybr","H","")))))))</f>
        <v/>
      </c>
      <c r="F26" s="17" t="str">
        <f>IF(AND(F25="Hybrid - Thrust + 2 connections",CR25="X"),"Hybrid - Thrust",IF(OR(E26="A",E26="B",E26="C",E26="P"),"Acrobatic",""))</f>
        <v/>
      </c>
      <c r="G26" s="31"/>
      <c r="H26" s="182" t="str">
        <f t="shared" ref="H26" si="360">IF(E26="PA",IF(OR(LEFT(J25,1)="L",LEFT(J25,1)="S"),"A-Pair-Lift",IF(OR(LEFT(J25,1)="W",LEFT(J25,1)="T"),"A-Pair-Throw",IF(LEFT(J25,1)="J","A-Pair-Jump","A-Pair"))),IF(OR(E26="A",E26="B",E26="C",E26="P"),CONCATENATE("Acro-",E26),""))</f>
        <v/>
      </c>
      <c r="I26" s="176" t="e">
        <f>IF(OR(F25="Hybrid - Choreography (DD = 1)",LEFT(F25,5)="Trans"),0,INDEX($BY$3:$BY$9,MATCH(E26,$BX$3:$BX$9,0)))</f>
        <v>#N/A</v>
      </c>
      <c r="J26" s="171">
        <f ca="1">IFERROR(IF($H25="No DD",IF(J25="ChoHY",1,0),IF(OR(ISBLANK(J25),J25="N/A"),0,INDEX(INDIRECT(BI26),MATCH(J25,INDIRECT(BI25),0)))),0)</f>
        <v>0</v>
      </c>
      <c r="K26" s="171">
        <f t="shared" ref="K26:Y26" ca="1" si="361">IFERROR(IF($H25="No DD",0,IF(OR(ISBLANK(K25),K25="N/A"),0,INDEX(INDIRECT(BJ26),MATCH(K25,INDIRECT(BJ25),0)))),0)</f>
        <v>0</v>
      </c>
      <c r="L26" s="171">
        <f t="shared" ca="1" si="361"/>
        <v>0</v>
      </c>
      <c r="M26" s="171">
        <f t="shared" ca="1" si="361"/>
        <v>0</v>
      </c>
      <c r="N26" s="171">
        <f t="shared" ca="1" si="361"/>
        <v>0</v>
      </c>
      <c r="O26" s="171">
        <f t="shared" ca="1" si="361"/>
        <v>0</v>
      </c>
      <c r="P26" s="171">
        <f t="shared" ca="1" si="361"/>
        <v>0</v>
      </c>
      <c r="Q26" s="171">
        <f t="shared" ca="1" si="361"/>
        <v>0</v>
      </c>
      <c r="R26" s="171">
        <f t="shared" ca="1" si="361"/>
        <v>0</v>
      </c>
      <c r="S26" s="171">
        <f t="shared" ca="1" si="361"/>
        <v>0</v>
      </c>
      <c r="T26" s="171">
        <f t="shared" ca="1" si="361"/>
        <v>0</v>
      </c>
      <c r="U26" s="171">
        <f t="shared" ca="1" si="361"/>
        <v>0</v>
      </c>
      <c r="V26" s="171">
        <f t="shared" ca="1" si="361"/>
        <v>0</v>
      </c>
      <c r="W26" s="171">
        <f t="shared" ca="1" si="361"/>
        <v>0</v>
      </c>
      <c r="X26" s="171">
        <f t="shared" ca="1" si="361"/>
        <v>0</v>
      </c>
      <c r="Y26" s="171">
        <f t="shared" ca="1" si="361"/>
        <v>0</v>
      </c>
      <c r="Z26" s="171">
        <f t="shared" ref="Z26" ca="1" si="362">IFERROR(IF($H25="No DD",0,IF(OR(ISBLANK(Z25),Z25="N/A"),0,INDEX(INDIRECT(BY26),MATCH(Z25,INDIRECT(BY25),0)))),0)</f>
        <v>0</v>
      </c>
      <c r="AA26" s="171">
        <f t="shared" ref="AA26" ca="1" si="363">IFERROR(IF($H25="No DD",0,IF(OR(ISBLANK(AA25),AA25="N/A"),0,INDEX(INDIRECT(BZ26),MATCH(AA25,INDIRECT(BZ25),0)))),0)</f>
        <v>0</v>
      </c>
      <c r="AB26" s="171">
        <f t="shared" ref="AB26" ca="1" si="364">IFERROR(IF($H25="No DD",0,IF(OR(ISBLANK(AB25),AB25="N/A"),0,INDEX(INDIRECT(CA26),MATCH(AB25,INDIRECT(CA25),0)))),0)</f>
        <v>0</v>
      </c>
      <c r="AC26" s="171">
        <f t="shared" ref="AC26" ca="1" si="365">IFERROR(IF($H25="No DD",0,IF(OR(ISBLANK(AC25),AC25="N/A"),0,INDEX(INDIRECT(CB26),MATCH(AC25,INDIRECT(CB25),0)))),0)</f>
        <v>0</v>
      </c>
      <c r="AD26" s="171">
        <f t="shared" ref="AD26" ca="1" si="366">IFERROR(IF($H25="No DD",0,IF(OR(ISBLANK(AD25),AD25="N/A"),0,INDEX(INDIRECT(CC26),MATCH(AD25,INDIRECT(CC25),0)))),0)</f>
        <v>0</v>
      </c>
      <c r="AE26" s="171">
        <f t="shared" ref="AE26" ca="1" si="367">IFERROR(IF($H25="No DD",0,IF(OR(ISBLANK(AE25),AE25="N/A"),0,INDEX(INDIRECT(CD26),MATCH(AE25,INDIRECT(CD25),0)))),0)</f>
        <v>0</v>
      </c>
      <c r="AF26" s="171">
        <f t="shared" ref="AF26" ca="1" si="368">IFERROR(IF($H25="No DD",0,IF(OR(ISBLANK(AF25),AF25="N/A"),0,INDEX(INDIRECT(CE26),MATCH(AF25,INDIRECT(CE25),0)))),0)</f>
        <v>0</v>
      </c>
      <c r="AG26" s="171">
        <f t="shared" ref="AG26" ca="1" si="369">IFERROR(IF($H25="No DD",0,IF(OR(ISBLANK(AG25),AG25="N/A"),0,INDEX(INDIRECT(CF26),MATCH(AG25,INDIRECT(CF25),0)))),0)</f>
        <v>0</v>
      </c>
      <c r="AH26" s="171">
        <f t="shared" ref="AH26" ca="1" si="370">IFERROR(IF($H25="No DD",0,IF(OR(ISBLANK(AH25),AH25="N/A"),0,INDEX(INDIRECT(CG26),MATCH(AH25,INDIRECT(CG25),0)))),0)</f>
        <v>0</v>
      </c>
      <c r="AI26" s="171">
        <f t="shared" ref="AI26" ca="1" si="371">IFERROR(IF($H25="No DD",0,IF(OR(ISBLANK(AI25),AI25="N/A"),0,INDEX(INDIRECT(CH26),MATCH(AI25,INDIRECT(CH25),0)))),0)</f>
        <v>0</v>
      </c>
      <c r="AJ26" s="171">
        <f t="shared" ref="AJ26" ca="1" si="372">IFERROR(IF($H25="No DD",0,IF(OR(ISBLANK(AJ25),AJ25="N/A"),0,INDEX(INDIRECT(CI26),MATCH(AJ25,INDIRECT(CI25),0)))),0)</f>
        <v>0</v>
      </c>
      <c r="AK26" s="171">
        <f t="shared" ref="AK26" ca="1" si="373">IFERROR(IF($H25="No DD",0,IF(OR(ISBLANK(AK25),AK25="N/A"),0,INDEX(INDIRECT(CJ26),MATCH(AK25,INDIRECT(CJ25),0)))),0)</f>
        <v>0</v>
      </c>
      <c r="AL26" s="171">
        <f t="shared" ref="AL26" ca="1" si="374">IFERROR(IF($H25="No DD",0,IF(OR(ISBLANK(AL25),AL25="N/A"),0,INDEX(INDIRECT(CK26),MATCH(AL25,INDIRECT(CK25),0)))),0)</f>
        <v>0</v>
      </c>
      <c r="AM26" s="171">
        <f t="shared" ref="AM26" ca="1" si="375">IFERROR(IF($H25="No DD",0,IF(OR(ISBLANK(AM25),AM25="N/A"),0,INDEX(INDIRECT(CL26),MATCH(AM25,INDIRECT(CL25),0)))),0)</f>
        <v>0</v>
      </c>
      <c r="AN26" s="172" t="str">
        <f>IFERROR(IF(E26="H",INDEX(HybridBonus_Value,MATCH(AN25,HybridBonus_Code,0)),""),"")</f>
        <v/>
      </c>
      <c r="AO26" s="276" t="str">
        <f t="shared" ref="AO26" si="376">IFERROR(SUM(I26:AN26),"")</f>
        <v/>
      </c>
      <c r="AP26" s="62"/>
      <c r="AQ26" s="62"/>
      <c r="AR26" s="101"/>
      <c r="AS26" s="101"/>
      <c r="AT26" s="101"/>
      <c r="AU26" s="101"/>
      <c r="AV26" s="101"/>
      <c r="BA26" s="90"/>
      <c r="BB26" s="101"/>
      <c r="BC26" s="101"/>
      <c r="BD26" s="101"/>
      <c r="BE26" s="101"/>
      <c r="BF26" s="101"/>
      <c r="BG26" s="90"/>
      <c r="BH26" s="101"/>
      <c r="BI26" s="91" t="str">
        <f t="shared" ref="BI26" si="377">IF($E26="H",IF($F25="Hybrid - Thrust + 2 connections","Hybrid_Mix_Req_Value","HybridDD_Value"),IF($E26=3,"TreDD_Value",IF($E26="PA","AcroPair_Value",IF(LEFT($F25,4)="Acro",CONCATENATE(BI$16,$E26,"_Value"),""))))</f>
        <v/>
      </c>
      <c r="BJ26" s="91" t="str">
        <f t="shared" ref="BJ26" si="378">IF($E26="H",IF($F25="Hybrid - Thrust + 2 connections","Hybrid_Mix_Req_Value","HybridDD_Value"),IF($E26=3,"TreDD_Value",IF($E26="PA","AcroPair_Value",IF(LEFT($F25,4)="Acro",CONCATENATE(BJ$16,$E26,"_Value"),""))))</f>
        <v/>
      </c>
      <c r="BK26" s="91" t="str">
        <f t="shared" ref="BK26" si="379">IF($E26="H",IF($F25="Hybrid - Thrust + 2 connections","Hybrid_Mix_Req_Value","HybridDD_Value"),IF($E26=3,"TreDD_Value",IF($E26="PA","AcroPair_Value",IF(LEFT($F25,4)="Acro",CONCATENATE(BK$16,$E26,"_Value"),""))))</f>
        <v/>
      </c>
      <c r="BL26" s="91" t="str">
        <f t="shared" ref="BL26" si="380">IF($E26="H",IF($F25="Hybrid - Thrust + 2 connections","Hybrid_Mix_Req_Value","HybridDD_Value"),IF($E26=3,"TreDD_Value",IF($E26="PA","AcroPair_Value",IF(LEFT($F25,4)="Acro",CONCATENATE(BL$16,$E26,"_Value"),""))))</f>
        <v/>
      </c>
      <c r="BM26" s="91" t="str">
        <f t="shared" ref="BM26" si="381">IF($E26="H",IF($F25="Hybrid - Thrust + 2 connections","Hybrid_Mix_Req_Value","HybridDD_Value"),IF($E26=3,"TreDD_Value",IF($E26="PA","AcroPair_Value",IF(LEFT($F25,4)="Acro",CONCATENATE(BM$16,$E26,"_Value"),""))))</f>
        <v/>
      </c>
      <c r="BN26" s="91" t="str">
        <f t="shared" ref="BN26" si="382">IF($E26="H",IF($F25="Hybrid - Thrust + 2 connections","Hybrid_Mix_Req_Value","HybridDD_Value"),IF($E26=3,"TreDD_Value",IF($E26="PA","AcroPair_Value",IF(LEFT($F25,4)="Acro",CONCATENATE(BN$16,$E26,"_Value"),""))))</f>
        <v/>
      </c>
      <c r="BO26" s="91" t="str">
        <f t="shared" ref="BO26" si="383">IF($E26="H",IF($F25="Hybrid - Thrust + 2 connections","Hybrid_Mix_Req_Value","HybridDD_Value"),IF($E26=3,"TreDD_Value",IF($E26="PA","AcroPair_Value",IF(LEFT($F25,4)="Acro",CONCATENATE(BO$16,$E26,"_Value"),""))))</f>
        <v/>
      </c>
      <c r="BP26" s="91" t="str">
        <f t="shared" ref="BP26" si="384">IF($E26="H",IF($F25="Hybrid - Thrust + 2 connections","Hybrid_Mix_Req_Value","HybridDD_Value"),IF($E26=3,"TreDD_Value",IF($E26="PA","AcroPair_Value",IF(LEFT($F25,4)="Acro",CONCATENATE(BP$16,$E26,"_Value"),""))))</f>
        <v/>
      </c>
      <c r="BQ26" s="91" t="str">
        <f t="shared" ref="BQ26" si="385">IF($E26="H",IF($F25="Hybrid - Thrust + 2 connections","Hybrid_Mix_Req_Value","HybridDD_Value"),IF($E26=3,"TreDD_Value",IF($E26="PA","AcroPair_Value",IF(LEFT($F25,4)="Acro",CONCATENATE(BQ$16,$E26,"_Value"),""))))</f>
        <v/>
      </c>
      <c r="BR26" s="90" t="str">
        <f t="shared" ref="BR26" si="386">IF($E26="H",IF($F25="Hybrid - Thrust + 2 connections","Data!$BI$1:$BI$5","HybridDD_Value"),"Data!$BI$1:$BI$5")</f>
        <v>Data!$BI$1:$BI$5</v>
      </c>
      <c r="BS26" s="90" t="str">
        <f t="shared" ref="BS26" si="387">IF($E26="H",IF($F25="Hybrid - Thrust + 2 connections","Data!$BI$1:$BI$5","HybridDD_Value"),"Data!$BI$1:$BI$5")</f>
        <v>Data!$BI$1:$BI$5</v>
      </c>
      <c r="BT26" s="90" t="str">
        <f t="shared" ref="BT26" si="388">IF($E26="H",IF($F25="Hybrid - Thrust + 2 connections","Data!$BI$1:$BI$5","HybridDD_Value"),"Data!$BI$1:$BI$5")</f>
        <v>Data!$BI$1:$BI$5</v>
      </c>
      <c r="BU26" s="90" t="str">
        <f t="shared" ref="BU26" si="389">IF($E26="H",IF($F25="Hybrid - Thrust + 2 connections","Data!$BI$1:$BI$5","HybridDD_Value"),"Data!$BI$1:$BI$5")</f>
        <v>Data!$BI$1:$BI$5</v>
      </c>
      <c r="BV26" s="90" t="str">
        <f t="shared" ref="BV26" si="390">IF($E26="H",IF($F25="Hybrid - Thrust + 2 connections","Data!$BI$1:$BI$5","HybridDD_Value"),"Data!$BI$1:$BI$5")</f>
        <v>Data!$BI$1:$BI$5</v>
      </c>
      <c r="BW26" s="90" t="str">
        <f t="shared" ref="BW26" si="391">IF($E26="H",IF($F25="Hybrid - Thrust + 2 connections","Data!$BI$1:$BI$5","HybridDD_Value"),"Data!$BI$1:$BI$5")</f>
        <v>Data!$BI$1:$BI$5</v>
      </c>
      <c r="BX26" s="90" t="str">
        <f t="shared" ref="BX26" si="392">IF($E26="H",IF($F25="Hybrid - Thrust + 2 connections","Data!$BI$1:$BI$5","HybridDD_Value"),"Data!$BI$1:$BI$5")</f>
        <v>Data!$BI$1:$BI$5</v>
      </c>
      <c r="BY26" s="90" t="str">
        <f t="shared" ref="BY26" si="393">IF($E26="H",IF($F25="Hybrid - Thrust + 2 connections","Data!$BI$1:$BI$5","HybridDD_Value"),"Data!$BI$1:$BI$5")</f>
        <v>Data!$BI$1:$BI$5</v>
      </c>
      <c r="BZ26" s="90" t="str">
        <f t="shared" ref="BZ26" si="394">IF($E26="H",IF($F25="Hybrid - Thrust + 2 connections","Data!$BI$1:$BI$5","HybridDD_Value"),"Data!$BI$1:$BI$5")</f>
        <v>Data!$BI$1:$BI$5</v>
      </c>
      <c r="CA26" s="90" t="str">
        <f t="shared" ref="CA26" si="395">IF($E26="H",IF($F25="Hybrid - Thrust + 2 connections","Data!$BI$1:$BI$5","HybridDD_Value"),"Data!$BI$1:$BI$5")</f>
        <v>Data!$BI$1:$BI$5</v>
      </c>
      <c r="CB26" s="90" t="str">
        <f t="shared" ref="CB26" si="396">IF($E26="H",IF($F25="Hybrid - Thrust + 2 connections","Data!$BI$1:$BI$5","HybridDD_Value"),"Data!$BI$1:$BI$5")</f>
        <v>Data!$BI$1:$BI$5</v>
      </c>
      <c r="CC26" s="90" t="str">
        <f t="shared" ref="CC26" si="397">IF($E26="H",IF($F25="Hybrid - Thrust + 2 connections","Data!$BI$1:$BI$5","HybridDD_Value"),"Data!$BI$1:$BI$5")</f>
        <v>Data!$BI$1:$BI$5</v>
      </c>
      <c r="CD26" s="90" t="str">
        <f t="shared" ref="CD26" si="398">IF($E26="H",IF($F25="Hybrid - Thrust + 2 connections","Data!$BI$1:$BI$5","HybridDD_Value"),"Data!$BI$1:$BI$5")</f>
        <v>Data!$BI$1:$BI$5</v>
      </c>
      <c r="CE26" s="90" t="str">
        <f t="shared" ref="CE26" si="399">IF($E26="H",IF($F25="Hybrid - Thrust + 2 connections","Data!$BI$1:$BI$5","HybridDD_Value"),"Data!$BI$1:$BI$5")</f>
        <v>Data!$BI$1:$BI$5</v>
      </c>
      <c r="CF26" s="90" t="str">
        <f t="shared" ref="CF26" si="400">IF($E26="H",IF($F25="Hybrid - Thrust + 2 connections","Data!$BI$1:$BI$5","HybridDD_Value"),"Data!$BI$1:$BI$5")</f>
        <v>Data!$BI$1:$BI$5</v>
      </c>
      <c r="CG26" s="90" t="str">
        <f t="shared" ref="CG26" si="401">IF($E26="H",IF($F25="Hybrid - Thrust + 2 connections","Data!$BI$1:$BI$5","HybridDD_Value"),"Data!$BI$1:$BI$5")</f>
        <v>Data!$BI$1:$BI$5</v>
      </c>
      <c r="CH26" s="90" t="str">
        <f t="shared" ref="CH26" si="402">IF($E26="H",IF($F25="Hybrid - Thrust + 2 connections","Data!$BI$1:$BI$5","HybridDD_Value"),"Data!$BI$1:$BI$5")</f>
        <v>Data!$BI$1:$BI$5</v>
      </c>
      <c r="CI26" s="90" t="str">
        <f t="shared" ref="CI26" si="403">IF($E26="H",IF($F25="Hybrid - Thrust + 2 connections","Data!$BI$1:$BI$5","HybridDD_Value"),"Data!$BI$1:$BI$5")</f>
        <v>Data!$BI$1:$BI$5</v>
      </c>
      <c r="CJ26" s="90" t="str">
        <f t="shared" ref="CJ26" si="404">IF($E26="H",IF($F25="Hybrid - Thrust + 2 connections","Data!$BI$1:$BI$5","HybridDD_Value"),"Data!$BI$1:$BI$5")</f>
        <v>Data!$BI$1:$BI$5</v>
      </c>
      <c r="CK26" s="90" t="str">
        <f t="shared" ref="CK26" si="405">IF($E26="H",IF($F25="Hybrid - Thrust + 2 connections","Data!$BI$1:$BI$5","HybridDD_Value"),"Data!$BI$1:$BI$5")</f>
        <v>Data!$BI$1:$BI$5</v>
      </c>
      <c r="CL26" s="90" t="str">
        <f t="shared" ref="CL26" si="406">IF($E26="H",IF($F25="Hybrid - Thrust + 2 connections","Data!$BI$1:$BI$5","HybridDD_Value"),"Data!$BI$1:$BI$5")</f>
        <v>Data!$BI$1:$BI$5</v>
      </c>
      <c r="CM26" s="101"/>
      <c r="CN26" s="101"/>
      <c r="CO26" s="102" t="str">
        <f>IFERROR(IF(AND($BV$6="T",$BV$8="T",LEFT(F25,4)="Acro",AO26&gt;3),"X",IF($N$7="X",IF(AND(E26="C",AO26&gt;$CN$6),"X",IF(AND(E26="A",AO26&gt;$CN$4),"X",IF(AND(E26="B",AO26&gt;$CN$5),"X",IF(AND(E26="P",AO26&gt;$CN$7),"X","")))),"")),"")</f>
        <v/>
      </c>
      <c r="CP26" s="94"/>
      <c r="CQ26" s="91"/>
      <c r="CS26" s="91"/>
      <c r="CT26" s="91"/>
      <c r="CU26" s="91"/>
      <c r="CV26" s="91"/>
      <c r="CW26" s="91"/>
      <c r="CX26" s="91"/>
      <c r="CY26" s="91"/>
      <c r="CZ26" s="91"/>
      <c r="DD26" s="88" t="str">
        <f t="shared" si="10"/>
        <v/>
      </c>
      <c r="DE26" s="88" t="str">
        <f t="shared" si="11"/>
        <v/>
      </c>
      <c r="DF26" s="88" t="str">
        <f t="shared" si="12"/>
        <v/>
      </c>
      <c r="DG26" s="88" t="str">
        <f t="shared" si="13"/>
        <v/>
      </c>
      <c r="DO26" s="88">
        <v>8</v>
      </c>
      <c r="ED26" s="88" t="str">
        <f t="shared" si="14"/>
        <v/>
      </c>
      <c r="EE26" s="88" t="str">
        <f t="shared" si="15"/>
        <v/>
      </c>
      <c r="EI26" s="88" t="str" cm="1">
        <f t="array" ref="EI26">IFERROR(INDEX(EK26:FN26,MATCH(TRUE,INDEX((EK26:FN26&lt;&gt;""),),0)),"")</f>
        <v/>
      </c>
      <c r="EK26" s="88" t="str">
        <f t="shared" ref="EK26" si="407">IF(F25="Hybrid - Thrust + 2 connections",IF(COUNTIF($EK25:$FN25,EK25)&gt;1,EK25,""),IF(COUNTIF($EK25:$FN25,EK25)&gt;5,EK25,""))</f>
        <v/>
      </c>
      <c r="EL26" s="88" t="str">
        <f t="shared" ref="EL26" si="408">IF(G25="Hybrid - Thrust + 2 connections",IF(COUNTIF($EK25:$FN25,EL25)&gt;1,EL25,""),IF(COUNTIF($EK25:$FN25,EL25)&gt;5,EL25,""))</f>
        <v/>
      </c>
      <c r="EM26" s="88" t="str">
        <f t="shared" ref="EM26" si="409">IF(H25="Hybrid - Thrust + 2 connections",IF(COUNTIF($EK25:$FN25,EM25)&gt;1,EM25,""),IF(COUNTIF($EK25:$FN25,EM25)&gt;5,EM25,""))</f>
        <v/>
      </c>
      <c r="EN26" s="88" t="str">
        <f t="shared" ref="EN26" si="410">IF(I25="Hybrid - Thrust + 2 connections",IF(COUNTIF($EK25:$FN25,EN25)&gt;1,EN25,""),IF(COUNTIF($EK25:$FN25,EN25)&gt;5,EN25,""))</f>
        <v/>
      </c>
      <c r="EO26" s="88" t="str">
        <f t="shared" ref="EO26" si="411">IF(J25="Hybrid - Thrust + 2 connections",IF(COUNTIF($EK25:$FN25,EO25)&gt;1,EO25,""),IF(COUNTIF($EK25:$FN25,EO25)&gt;5,EO25,""))</f>
        <v/>
      </c>
      <c r="EP26" s="88" t="str">
        <f t="shared" ref="EP26" si="412">IF(K25="Hybrid - Thrust + 2 connections",IF(COUNTIF($EK25:$FN25,EP25)&gt;1,EP25,""),IF(COUNTIF($EK25:$FN25,EP25)&gt;5,EP25,""))</f>
        <v/>
      </c>
      <c r="EQ26" s="88" t="str">
        <f t="shared" ref="EQ26" si="413">IF(L25="Hybrid - Thrust + 2 connections",IF(COUNTIF($EK25:$FN25,EQ25)&gt;1,EQ25,""),IF(COUNTIF($EK25:$FN25,EQ25)&gt;5,EQ25,""))</f>
        <v/>
      </c>
      <c r="ER26" s="88" t="str">
        <f t="shared" ref="ER26" si="414">IF(M25="Hybrid - Thrust + 2 connections",IF(COUNTIF($EK25:$FN25,ER25)&gt;1,ER25,""),IF(COUNTIF($EK25:$FN25,ER25)&gt;5,ER25,""))</f>
        <v/>
      </c>
      <c r="ES26" s="88" t="str">
        <f t="shared" ref="ES26" si="415">IF(N25="Hybrid - Thrust + 2 connections",IF(COUNTIF($EK25:$FN25,ES25)&gt;1,ES25,""),IF(COUNTIF($EK25:$FN25,ES25)&gt;5,ES25,""))</f>
        <v/>
      </c>
      <c r="ET26" s="88" t="str">
        <f t="shared" ref="ET26" si="416">IF(O25="Hybrid - Thrust + 2 connections",IF(COUNTIF($EK25:$FN25,ET25)&gt;1,ET25,""),IF(COUNTIF($EK25:$FN25,ET25)&gt;5,ET25,""))</f>
        <v/>
      </c>
      <c r="EU26" s="88" t="str">
        <f t="shared" ref="EU26" si="417">IF(P25="Hybrid - Thrust + 2 connections",IF(COUNTIF($EK25:$FN25,EU25)&gt;1,EU25,""),IF(COUNTIF($EK25:$FN25,EU25)&gt;5,EU25,""))</f>
        <v/>
      </c>
      <c r="EV26" s="88" t="str">
        <f t="shared" ref="EV26" si="418">IF(Q25="Hybrid - Thrust + 2 connections",IF(COUNTIF($EK25:$FN25,EV25)&gt;1,EV25,""),IF(COUNTIF($EK25:$FN25,EV25)&gt;5,EV25,""))</f>
        <v/>
      </c>
      <c r="EW26" s="88" t="str">
        <f t="shared" ref="EW26" si="419">IF(R25="Hybrid - Thrust + 2 connections",IF(COUNTIF($EK25:$FN25,EW25)&gt;1,EW25,""),IF(COUNTIF($EK25:$FN25,EW25)&gt;5,EW25,""))</f>
        <v/>
      </c>
      <c r="EX26" s="88" t="str">
        <f t="shared" ref="EX26" si="420">IF(S25="Hybrid - Thrust + 2 connections",IF(COUNTIF($EK25:$FN25,EX25)&gt;1,EX25,""),IF(COUNTIF($EK25:$FN25,EX25)&gt;5,EX25,""))</f>
        <v/>
      </c>
      <c r="EY26" s="88" t="str">
        <f t="shared" ref="EY26" si="421">IF(T25="Hybrid - Thrust + 2 connections",IF(COUNTIF($EK25:$FN25,EY25)&gt;1,EY25,""),IF(COUNTIF($EK25:$FN25,EY25)&gt;5,EY25,""))</f>
        <v/>
      </c>
      <c r="EZ26" s="88" t="str">
        <f t="shared" ref="EZ26" si="422">IF(U25="Hybrid - Thrust + 2 connections",IF(COUNTIF($EK25:$FN25,EZ25)&gt;1,EZ25,""),IF(COUNTIF($EK25:$FN25,EZ25)&gt;5,EZ25,""))</f>
        <v/>
      </c>
      <c r="FA26" s="88" t="str">
        <f t="shared" ref="FA26" si="423">IF(V25="Hybrid - Thrust + 2 connections",IF(COUNTIF($EK25:$FN25,FA25)&gt;1,FA25,""),IF(COUNTIF($EK25:$FN25,FA25)&gt;5,FA25,""))</f>
        <v/>
      </c>
      <c r="FB26" s="88" t="str">
        <f t="shared" ref="FB26" si="424">IF(W25="Hybrid - Thrust + 2 connections",IF(COUNTIF($EK25:$FN25,FB25)&gt;1,FB25,""),IF(COUNTIF($EK25:$FN25,FB25)&gt;5,FB25,""))</f>
        <v/>
      </c>
      <c r="FC26" s="88" t="str">
        <f t="shared" ref="FC26" si="425">IF(X25="Hybrid - Thrust + 2 connections",IF(COUNTIF($EK25:$FN25,FC25)&gt;1,FC25,""),IF(COUNTIF($EK25:$FN25,FC25)&gt;5,FC25,""))</f>
        <v/>
      </c>
      <c r="FD26" s="88" t="str">
        <f t="shared" ref="FD26" si="426">IF(Y25="Hybrid - Thrust + 2 connections",IF(COUNTIF($EK25:$FN25,FD25)&gt;1,FD25,""),IF(COUNTIF($EK25:$FN25,FD25)&gt;5,FD25,""))</f>
        <v/>
      </c>
      <c r="FE26" s="88" t="str">
        <f t="shared" ref="FE26" si="427">IF(Z25="Hybrid - Thrust + 2 connections",IF(COUNTIF($EK25:$FN25,FE25)&gt;1,FE25,""),IF(COUNTIF($EK25:$FN25,FE25)&gt;5,FE25,""))</f>
        <v/>
      </c>
      <c r="FF26" s="88" t="str">
        <f t="shared" ref="FF26" si="428">IF(AA25="Hybrid - Thrust + 2 connections",IF(COUNTIF($EK25:$FN25,FF25)&gt;1,FF25,""),IF(COUNTIF($EK25:$FN25,FF25)&gt;5,FF25,""))</f>
        <v/>
      </c>
      <c r="FG26" s="88" t="str">
        <f t="shared" ref="FG26" si="429">IF(AB25="Hybrid - Thrust + 2 connections",IF(COUNTIF($EK25:$FN25,FG25)&gt;1,FG25,""),IF(COUNTIF($EK25:$FN25,FG25)&gt;5,FG25,""))</f>
        <v/>
      </c>
      <c r="FH26" s="88" t="str">
        <f t="shared" ref="FH26" si="430">IF(AC25="Hybrid - Thrust + 2 connections",IF(COUNTIF($EK25:$FN25,FH25)&gt;1,FH25,""),IF(COUNTIF($EK25:$FN25,FH25)&gt;5,FH25,""))</f>
        <v/>
      </c>
      <c r="FI26" s="88" t="str">
        <f t="shared" ref="FI26" si="431">IF(AD25="Hybrid - Thrust + 2 connections",IF(COUNTIF($EK25:$FN25,FI25)&gt;1,FI25,""),IF(COUNTIF($EK25:$FN25,FI25)&gt;5,FI25,""))</f>
        <v/>
      </c>
      <c r="FJ26" s="88" t="str">
        <f t="shared" ref="FJ26" si="432">IF(AE25="Hybrid - Thrust + 2 connections",IF(COUNTIF($EK25:$FN25,FJ25)&gt;1,FJ25,""),IF(COUNTIF($EK25:$FN25,FJ25)&gt;5,FJ25,""))</f>
        <v/>
      </c>
      <c r="FK26" s="88" t="str">
        <f t="shared" ref="FK26" si="433">IF(AF25="Hybrid - Thrust + 2 connections",IF(COUNTIF($EK25:$FN25,FK25)&gt;1,FK25,""),IF(COUNTIF($EK25:$FN25,FK25)&gt;5,FK25,""))</f>
        <v/>
      </c>
      <c r="FL26" s="88" t="str">
        <f t="shared" ref="FL26" si="434">IF(AG25="Hybrid - Thrust + 2 connections",IF(COUNTIF($EK25:$FN25,FL25)&gt;1,FL25,""),IF(COUNTIF($EK25:$FN25,FL25)&gt;5,FL25,""))</f>
        <v/>
      </c>
      <c r="FM26" s="88" t="str">
        <f t="shared" ref="FM26" si="435">IF(AH25="Hybrid - Thrust + 2 connections",IF(COUNTIF($EK25:$FN25,FM25)&gt;1,FM25,""),IF(COUNTIF($EK25:$FN25,FM25)&gt;5,FM25,""))</f>
        <v/>
      </c>
      <c r="FN26" s="88" t="str">
        <f t="shared" ref="FN26" si="436">IF(AI25="Hybrid - Thrust + 2 connections",IF(COUNTIF($EK25:$FN25,FN25)&gt;1,FN25,""),IF(COUNTIF($EK25:$FN25,FN25)&gt;5,FN25,""))</f>
        <v/>
      </c>
      <c r="FO26" s="88">
        <f t="shared" ref="FO26" si="437">FO24+5</f>
        <v>15</v>
      </c>
      <c r="FP26" s="88" t="str" cm="1">
        <f t="array" ref="FP26">IF(FQ26&lt;&gt;"",LEFT(FQ26,FIND("*",FQ26)-1),INDEX($FP$75:$FP$172,FO26+1))</f>
        <v/>
      </c>
      <c r="FQ26" s="88" t="str" cm="1">
        <f t="array" ref="FQ26">INDEX($FQ$75:$FQ$172,FO26+1)</f>
        <v/>
      </c>
      <c r="FR26" s="285"/>
      <c r="FS26" s="285"/>
      <c r="FT26" s="285"/>
      <c r="FU26" s="285"/>
      <c r="FV26" s="285"/>
      <c r="FW26" s="285"/>
      <c r="FX26" s="285"/>
      <c r="FY26" s="285"/>
      <c r="FZ26" s="285"/>
      <c r="GA26" s="285"/>
      <c r="GB26" s="285"/>
      <c r="GC26" s="285"/>
      <c r="GD26" s="285"/>
      <c r="GE26" s="285"/>
      <c r="GF26" s="285"/>
      <c r="GG26" s="285"/>
      <c r="GH26" s="285"/>
      <c r="GI26" s="285"/>
      <c r="GJ26" s="285"/>
      <c r="GK26" s="285"/>
      <c r="GL26" s="285"/>
      <c r="GM26" s="285"/>
      <c r="GN26" s="285"/>
      <c r="GO26" s="285"/>
      <c r="GP26" s="285"/>
      <c r="GQ26" s="285"/>
      <c r="GR26" s="285"/>
      <c r="GS26" s="285"/>
      <c r="GT26" s="285"/>
      <c r="GU26" s="285"/>
      <c r="GV26" s="88"/>
      <c r="GW26" s="88"/>
      <c r="GX26" s="88"/>
      <c r="GY26" s="88"/>
      <c r="GZ26" s="88"/>
      <c r="HA26" s="88"/>
      <c r="HB26" s="88"/>
      <c r="HC26" s="88"/>
      <c r="HD26" s="88" t="str">
        <f>IF($F25="Hybrid - Thrust + 2 connections",COUNTBLANK(J25:L25),"")</f>
        <v/>
      </c>
      <c r="HE26" s="88"/>
      <c r="HF26" s="91"/>
      <c r="HG26" s="91"/>
      <c r="HH26" s="91"/>
      <c r="HI26" s="91"/>
    </row>
    <row r="27" spans="1:222" ht="12.75" customHeight="1" x14ac:dyDescent="0.35">
      <c r="A27" s="28" t="str">
        <f>IF(AND(E25="",A25&lt;&gt;""),IF(CP25=$CP$18,"",IF(C25&lt;&gt;"",IF(D25=59,MINUTE(CP25)+1,MINUTE(CP25)),"")),"")</f>
        <v/>
      </c>
      <c r="B27" s="29" t="str">
        <f>IF(AND(E25="",B25&lt;&gt;""),IF(CP25=$CP$18,"",IF(C25&lt;&gt;"",IF(D25=59,0,SECOND(CP25)+1),"")),"")</f>
        <v/>
      </c>
      <c r="C27" s="39"/>
      <c r="D27" s="39"/>
      <c r="E27" s="9"/>
      <c r="F27" s="40"/>
      <c r="G27" s="31" t="str">
        <f>IF(F27&lt;&gt;"",IF(OR(F27="Transition",F27="Transition - Surface Connection"),0,MAX($G$19:G26)+1),"")</f>
        <v/>
      </c>
      <c r="H27" s="43" t="str">
        <f>IFERROR(IF(E28="3","",IF(OR(F27="Hybrid - Choreography (DD = 1)",LEFT(F27,5)="Trans"),"No DD",CONCATENATE("BM = ",I28))),"")</f>
        <v/>
      </c>
      <c r="I27" s="44"/>
      <c r="J27" s="109"/>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58"/>
      <c r="AO27" s="32"/>
      <c r="AP27" s="61"/>
      <c r="AQ27" s="61"/>
      <c r="AR27" s="90"/>
      <c r="AS27" s="90"/>
      <c r="AT27" s="90"/>
      <c r="AU27" s="90"/>
      <c r="AV27" s="90"/>
      <c r="AW27" s="91" t="str">
        <f t="shared" ref="AW27" si="438">E28</f>
        <v/>
      </c>
      <c r="AX27" s="94" t="str">
        <f t="shared" ref="AX27" si="439">IF(AY27=0,"",TIME(0,A27,B27))</f>
        <v/>
      </c>
      <c r="AY27" s="94">
        <f t="shared" ref="AY27" si="440">TIME(0,C27,D27)</f>
        <v>0</v>
      </c>
      <c r="AZ27" s="94" t="str">
        <f t="shared" ref="AZ27" si="441">IFERROR(AY27-AX27,"")</f>
        <v/>
      </c>
      <c r="BA27" s="237" t="str">
        <f t="shared" ref="BA27" si="442">IF($AX$17=0,"",IF(AND($C$10&lt;&gt;"",AW27="H",AZ27&gt;$AX$17),"X",""))</f>
        <v/>
      </c>
      <c r="BB27" s="90"/>
      <c r="BC27" s="90"/>
      <c r="BD27" s="90"/>
      <c r="BE27" s="90"/>
      <c r="BF27" s="90"/>
      <c r="BG27" s="90" t="str">
        <f>IFERROR(IF(F27&lt;&gt;"",INDEX(Parts_Active,MATCH(F27,Parts_Active,0)),""),"No")</f>
        <v/>
      </c>
      <c r="BH27" s="90"/>
      <c r="BI27" s="90" t="str">
        <f>IF($E28="H",IF($F27="Hybrid - Thrust + 2 connections","Hybrid_Mix_Req",IF($F27="Hybrid - Choreography (DD = 1)","Hybrid_ChoHY","HybridDD_Code")),IF($E28=3,"TreDD_Code",IF($E28="PA","AcroPair_Code",IF(LEFT($F27,4)="Acro",CONCATENATE(BI$16,$E28,"_Code"),"Data!$BI$1:$BI$5"))))</f>
        <v>Data!$BI$1:$BI$5</v>
      </c>
      <c r="BJ27" s="90" t="str">
        <f t="shared" ref="BJ27" si="443">IF($E28="H",IF($F27="Hybrid - Thrust + 2 connections","Hybrid_Mix_Req",IF($F27="Hybrid - min 4 swimmers (no DD)","Data!$BI$1:$BI$5","HybridDD_Code")),IF($E28=3,"TreDD_Code",IF($E28="PA","AcroPair_Code",IF(LEFT($F27,4)="Acro",CONCATENATE(BJ$16,$E28,"_Code"),"Data!$BI$1:$BI$5"))))</f>
        <v>Data!$BI$1:$BI$5</v>
      </c>
      <c r="BK27" s="90" t="str">
        <f t="shared" si="6"/>
        <v>Data!$BI$1:$BI$5</v>
      </c>
      <c r="BL27" s="90" t="str">
        <f t="shared" si="6"/>
        <v>Data!$BI$1:$BI$5</v>
      </c>
      <c r="BM27" s="90" t="str">
        <f t="shared" si="6"/>
        <v>Data!$BI$1:$BI$5</v>
      </c>
      <c r="BN27" s="90" t="str">
        <f t="shared" si="6"/>
        <v>Data!$BI$1:$BI$5</v>
      </c>
      <c r="BO27" s="90" t="str">
        <f t="shared" si="6"/>
        <v>Data!$BI$1:$BI$5</v>
      </c>
      <c r="BP27" s="90" t="str">
        <f t="shared" si="6"/>
        <v>Data!$BI$1:$BI$5</v>
      </c>
      <c r="BQ27" s="90" t="str">
        <f t="shared" si="6"/>
        <v>Data!$BI$1:$BI$5</v>
      </c>
      <c r="BR27" s="90" t="str">
        <f t="shared" ref="BR27" si="444">IF($E28="H",IF($F27="Hybrid - Thrust + 2 connections","Data!$BI$1:$BI$5","HybridDD_Code"),"Data!$BI$1:$BI$5")</f>
        <v>Data!$BI$1:$BI$5</v>
      </c>
      <c r="BS27" s="90" t="str">
        <f t="shared" si="7"/>
        <v>Data!$BI$1:$BI$5</v>
      </c>
      <c r="BT27" s="90" t="str">
        <f t="shared" si="7"/>
        <v>Data!$BI$1:$BI$5</v>
      </c>
      <c r="BU27" s="90" t="str">
        <f t="shared" si="7"/>
        <v>Data!$BI$1:$BI$5</v>
      </c>
      <c r="BV27" s="90" t="str">
        <f t="shared" si="7"/>
        <v>Data!$BI$1:$BI$5</v>
      </c>
      <c r="BW27" s="90" t="str">
        <f t="shared" si="7"/>
        <v>Data!$BI$1:$BI$5</v>
      </c>
      <c r="BX27" s="90" t="str">
        <f t="shared" si="7"/>
        <v>Data!$BI$1:$BI$5</v>
      </c>
      <c r="BY27" s="90" t="str">
        <f t="shared" si="7"/>
        <v>Data!$BI$1:$BI$5</v>
      </c>
      <c r="BZ27" s="90" t="str">
        <f t="shared" si="7"/>
        <v>Data!$BI$1:$BI$5</v>
      </c>
      <c r="CA27" s="90" t="str">
        <f t="shared" si="7"/>
        <v>Data!$BI$1:$BI$5</v>
      </c>
      <c r="CB27" s="90" t="str">
        <f t="shared" si="7"/>
        <v>Data!$BI$1:$BI$5</v>
      </c>
      <c r="CC27" s="90" t="str">
        <f t="shared" si="7"/>
        <v>Data!$BI$1:$BI$5</v>
      </c>
      <c r="CD27" s="90" t="str">
        <f t="shared" ref="BS27:CH57" si="445">$BR27</f>
        <v>Data!$BI$1:$BI$5</v>
      </c>
      <c r="CE27" s="90" t="str">
        <f t="shared" si="445"/>
        <v>Data!$BI$1:$BI$5</v>
      </c>
      <c r="CF27" s="90" t="str">
        <f t="shared" si="445"/>
        <v>Data!$BI$1:$BI$5</v>
      </c>
      <c r="CG27" s="90" t="str">
        <f t="shared" si="445"/>
        <v>Data!$BI$1:$BI$5</v>
      </c>
      <c r="CH27" s="90" t="str">
        <f t="shared" si="445"/>
        <v>Data!$BI$1:$BI$5</v>
      </c>
      <c r="CI27" s="90" t="str">
        <f t="shared" si="8"/>
        <v>Data!$BI$1:$BI$5</v>
      </c>
      <c r="CJ27" s="90" t="str">
        <f t="shared" si="8"/>
        <v>Data!$BI$1:$BI$5</v>
      </c>
      <c r="CK27" s="90" t="str">
        <f t="shared" si="8"/>
        <v>Data!$BI$1:$BI$5</v>
      </c>
      <c r="CL27" s="90" t="str">
        <f t="shared" si="8"/>
        <v>Data!$BI$1:$BI$5</v>
      </c>
      <c r="CM27" s="90"/>
      <c r="CN27" s="90"/>
      <c r="CO27" s="93" t="str">
        <f>IFERROR(TIME(0,A27,B27),"")</f>
        <v/>
      </c>
      <c r="CP27" s="94">
        <f>IFERROR(TIME(0,C27,D27),"")</f>
        <v>0</v>
      </c>
      <c r="CQ27" s="94" t="str">
        <f t="shared" ref="CQ27" si="446">IF(CP27&gt;$D$12,"X","")</f>
        <v/>
      </c>
      <c r="CR27" s="88" t="str">
        <f>IF(AND(F27="Hybrid - Thrust + 2 connections",OR(LEFT(J27,1)="T",LEFT(K27,1)="T",LEFT(L27,1)="T",LEFT(PB27,1)="T",LEFT(M27,1)="T",LEFT(N27,1)="T",LEFT(O27,1)="T",LEFT(P27,1)="T",LEFT(Q27,1)="T",LEFT(R27,1)="T",LEFT(S27,1)="T",LEFT(T27,1)="T",LEFT(U27,1)="T",LEFT(V27,1)="T",LEFT(W27,1)="T",LEFT(X27,1)="T",LEFT(AK27,1)="T",LEFT(AL27,1)="T",LEFT(AM27,1)="T")),IF(OR(LEN(J27)=2,LEN(K27)=2,LEN(L27)=2,LEN(M27)=2,LEN(N27)=2,LEN(O27)=2,LEN(P27)=2,LEN(Q27)=2,LEN(R27)=2,LEN(S27)=2,LEN(T27)=2,LEN(U27)=2,LEN(V27)=2,LEN(W27)=2,LEN(X27)=2,LEN(Y27)=2,LEN(Z27)=2,LEN(AK27)=2,LEN(AL27)=2,LEN(AM27)=2),"X",""),"")</f>
        <v/>
      </c>
      <c r="CS27" s="91"/>
      <c r="CT27" s="88" t="str">
        <f>IF(LEFT(F27,4)="Acro",IF(AND(N27&lt;&gt;"",M27=RIGHT(N27,2)),"X","OK"),"")</f>
        <v/>
      </c>
      <c r="CU27" s="90" t="str">
        <f t="shared" ref="CU27:DB27" si="447">IFERROR(IF(AND(LEFT($F27,4)="Acro",INDEX(Requ_App,MATCH(BI27,Requ_Code,0))="No"),"X",""),"")</f>
        <v/>
      </c>
      <c r="CV27" s="90" t="str">
        <f t="shared" si="447"/>
        <v/>
      </c>
      <c r="CW27" s="90" t="str">
        <f t="shared" si="447"/>
        <v/>
      </c>
      <c r="CX27" s="90" t="str">
        <f t="shared" si="447"/>
        <v/>
      </c>
      <c r="CY27" s="90" t="str">
        <f t="shared" si="447"/>
        <v/>
      </c>
      <c r="CZ27" s="90" t="str">
        <f t="shared" si="447"/>
        <v/>
      </c>
      <c r="DA27" s="90" t="str">
        <f t="shared" si="447"/>
        <v/>
      </c>
      <c r="DB27" s="90" t="str">
        <f t="shared" si="447"/>
        <v/>
      </c>
      <c r="DC27" s="90" t="str">
        <f>IFERROR(IF(AND(LEFT($F27,4)="Acro",INDEX(Requ_App,MATCH(BP27,Requ_Code,0))="No"),"X",""),"")</f>
        <v/>
      </c>
      <c r="DD27" s="88" t="str">
        <f t="shared" si="10"/>
        <v/>
      </c>
      <c r="DE27" s="88" t="str">
        <f t="shared" si="11"/>
        <v/>
      </c>
      <c r="DF27" s="88" t="str">
        <f t="shared" si="12"/>
        <v/>
      </c>
      <c r="DG27" s="88" t="str">
        <f t="shared" si="13"/>
        <v/>
      </c>
      <c r="DK27" s="88">
        <f t="shared" ref="DK27" si="448">IF(AND(E28="A",OR(Q27="Grip",Q27="Conn",Q27="Catch")),"A1",IF(AND(E28="A",OR(Q27="Hula",Q27="RetSq",Q27="RetPa")),"A2",IF(AND(E28="B",OR(Q27="Twirl",Q27="RotF")),"B1",IF(AND(E28="B",OR(Q27="Moon",Q27="Mov",Q27="Hold")),"B2",IF(AND(E28="P",OR(Q27="Porp",Q27="Splch")),"P1",IF(AND(E28="P",OR(Q27="Diva",Q27="Stand")),"P2",IF(AND(E28="P",OR(Q27="Spider",Q27="Climb")),"P3",IF(AND(E28="P",OR(Q27="Fall",Q27="FTurn")),"P4",IF(AND(E28="C",OR(Q27="Jump",Q27="Jump&gt;",Q27="On1Foot",Q27="1F&gt;1F")),"C1",IF(AND(E28="C",OR(Q27="Run",Q27="BRun")),"C2",1))))))))))</f>
        <v>1</v>
      </c>
      <c r="DL27" s="88">
        <f t="shared" ref="DL27" si="449">IF(AND(E28="A",OR(R27="Grip",R27="Conn",R27="Catch")),"A1",IF(AND(E28="A",OR(R27="Hula",R27="RetSq",R27="RetPa")),"A2",IF(AND(E28="B",OR(R27="Twirl",R27="RotF")),"B1",IF(AND(E28="B",OR(R27="Moon",R27="Mov",R27="Hold")),"B2",IF(AND(E28="P",OR(R27="Porp",R27="Spich")),"P1",IF(AND(E28="P",OR(R27="Diva",R27="Stand")),"P2",IF(AND(E28="P",OR(R27="Spider",R27="Climb")),"P3",IF(AND(E28="P",OR(R27="Fall",R27="FTurn")),"P4",IF(AND(E28="C",OR(R27="Jump",R27="Jump&gt;",R27="On1Foot",R27="1F&gt;1F")),"C1",IF(AND(E28="C",OR(R27="Run",R27="BRun")),"C2",2))))))))))</f>
        <v>2</v>
      </c>
      <c r="DM27" s="88" t="str">
        <f t="shared" ref="DM27" si="450">IF(AND(N27="",OR(Q27&lt;&gt;"",R27&lt;&gt;"")),"X",IF(AND(LEFT(F27,4)="Acro",Q27&lt;&gt;"",OR(Q27=R27,DK27=DL27)),IF(R27="C-Roll","","X"),IF(OR(AND(E28="A",Q27="Catch",R27&lt;&gt;"Dbl"),AND(E28="A",R27="Catch",Q27&lt;&gt;"Dbl")),"X","")))</f>
        <v/>
      </c>
      <c r="DN27" s="88" t="str">
        <f>IF(E28="PA",J27,"")</f>
        <v/>
      </c>
      <c r="DO27" s="88">
        <v>9</v>
      </c>
      <c r="DQ27" s="88" t="str">
        <f>IF(AND($E28="A",COUNTIF($DZ$19:$EA$68,DZ27)&gt;1),DZ27,"")</f>
        <v/>
      </c>
      <c r="DR27" s="88" t="str">
        <f>IF(AND($E28="A",COUNTIF($DZ$19:$EA$68,EA27)&gt;1),EA27,"")</f>
        <v/>
      </c>
      <c r="DS27" s="88" t="str">
        <f ca="1">IF(AND($E28="B",COUNTIF($J$19:$J$68,J27)&gt;1),J27,"")</f>
        <v/>
      </c>
      <c r="DT27" s="88" t="str">
        <f ca="1">IF(AND($E28="B",COUNTIF($K$19:$K$68,K27)&gt;1),K27,"")</f>
        <v/>
      </c>
      <c r="DU27" s="88" t="str">
        <f ca="1">IF(AND($E28="C",COUNTIF($J$19:$J$68,J27)&gt;1),J27,"")</f>
        <v/>
      </c>
      <c r="DV27" s="88" t="str">
        <f ca="1">IF(AND($E28="P",COUNTIF($J$19:$J$68,J27)&gt;1),J27,"")</f>
        <v/>
      </c>
      <c r="DW27" s="88" t="str">
        <f ca="1">IF(AND($E28="P",COUNTIF($K$19:$K$68,K27)&gt;1),K27,"")</f>
        <v/>
      </c>
      <c r="DX27" s="88" t="str">
        <f>IF(AND($E28="P",COUNTIF($DZ$19:$EA$68,DZ27)&gt;1),DZ27,"")</f>
        <v/>
      </c>
      <c r="DY27" s="88" t="str">
        <f>IF(AND($E28="P",COUNTIF($DZ$19:$EA$68,EA27)&gt;1),EA27,"")</f>
        <v/>
      </c>
      <c r="DZ27" s="88" t="str">
        <f>IFERROR(IF(OR(E28="A",E28="P"),M27,""),"")</f>
        <v/>
      </c>
      <c r="EA27" s="88" t="str">
        <f>IFERROR(IF(OR(E28="A",E28="P"),RIGHT(N27,2),""),"")</f>
        <v/>
      </c>
      <c r="EB27" s="88" t="str">
        <f t="shared" ref="EB27" si="451">IF(Q27="","",IF(AND($E28="P",COUNTIF($Q$19:$R$68,Q27)&gt;1),Q27,""))</f>
        <v/>
      </c>
      <c r="EC27" s="88" t="str">
        <f t="shared" ref="EC27" si="452">IF(R27="","",IF(AND($E28="P",COUNTIF($Q$19:$R$68,R27)&gt;1),R27,""))</f>
        <v/>
      </c>
      <c r="ED27" s="88" t="str">
        <f t="shared" si="14"/>
        <v/>
      </c>
      <c r="EE27" s="88" t="str">
        <f t="shared" si="15"/>
        <v/>
      </c>
      <c r="EF27" s="88" t="str">
        <f t="shared" ref="EF27" si="453">IF(AND(OR($F$8="Open Team Acrobatic",$F$8="Open Team Technical"),LEFT(F27,4)="Acro"),E28,"")</f>
        <v/>
      </c>
      <c r="EG27" s="88" t="str">
        <f t="shared" ref="EG27" si="454">IF(EF27="","",IFERROR(IF($F$8="Open Team Acrobatic",IF(HLOOKUP(EF27,$DQ$12:$DT$13,2,FALSE)&gt;2,"X",""),IF(HLOOKUP(EF27,$DQ$12:$DT$13,2,FALSE)&gt;1,"X","")),""))</f>
        <v/>
      </c>
      <c r="EI27" s="88" t="str">
        <f t="shared" ref="EI27" si="455">IF(OR(AND(F27="Hybrid - Thrust + 2 connections",EI28="T"),AND(E28="H",EI28&lt;&gt;"",EI81="X")),"X","")</f>
        <v/>
      </c>
      <c r="EK27" s="88">
        <f t="shared" ref="EK27" si="456">IFERROR(IF(AND($E28="H",J27&lt;&gt;"",J27&lt;&gt;"ChoHY"),IF(OR(LEFT(J27,1)="T",LEFT(J27,1)="S",LEFT(J27,1)="A",LEFT(J27,1)="F",LEFT(J27,1)="C"),LEFT(J27,1),"R"),EK$18),"")</f>
        <v>1</v>
      </c>
      <c r="EL27" s="88">
        <f t="shared" ref="EL27" si="457">IFERROR(IF(AND($E28="H",K27&lt;&gt;""),IF(OR(LEFT(K27,1)="T",LEFT(K27,1)="S",LEFT(K27,1)="A",LEFT(K27,1)="F",LEFT(K27,1)="C"),LEFT(K27,1),"R"),EL$18),"")</f>
        <v>2</v>
      </c>
      <c r="EM27" s="88">
        <f t="shared" ref="EM27" si="458">IFERROR(IF(AND($E28="H",L27&lt;&gt;""),IF(OR(LEFT(L27,1)="T",LEFT(L27,1)="S",LEFT(L27,1)="A",LEFT(L27,1)="F",LEFT(L27,1)="C"),LEFT(L27,1),"R"),EM$18),"")</f>
        <v>3</v>
      </c>
      <c r="EN27" s="88">
        <f t="shared" ref="EN27" si="459">IFERROR(IF(AND($E28="H",M27&lt;&gt;""),IF(OR(LEFT(M27,1)="T",LEFT(M27,1)="S",LEFT(M27,1)="A",LEFT(M27,1)="F",LEFT(M27,1)="C"),LEFT(M27,1),"R"),EN$18),"")</f>
        <v>4</v>
      </c>
      <c r="EO27" s="88">
        <f t="shared" ref="EO27" si="460">IFERROR(IF(AND($E28="H",N27&lt;&gt;""),IF(OR(LEFT(N27,1)="T",LEFT(N27,1)="S",LEFT(N27,1)="A",LEFT(N27,1)="F",LEFT(N27,1)="C"),LEFT(N27,1),"R"),EO$18),"")</f>
        <v>5</v>
      </c>
      <c r="EP27" s="88">
        <f t="shared" ref="EP27" si="461">IFERROR(IF(AND($E28="H",O27&lt;&gt;""),IF(OR(LEFT(O27,1)="T",LEFT(O27,1)="S",LEFT(O27,1)="A",LEFT(O27,1)="F",LEFT(O27,1)="C"),LEFT(O27,1),"R"),EP$18),"")</f>
        <v>6</v>
      </c>
      <c r="EQ27" s="88">
        <f t="shared" ref="EQ27" si="462">IFERROR(IF(AND($E28="H",P27&lt;&gt;""),IF(OR(LEFT(P27,1)="T",LEFT(P27,1)="S",LEFT(P27,1)="A",LEFT(P27,1)="F",LEFT(P27,1)="C"),LEFT(P27,1),"R"),EQ$18),"")</f>
        <v>7</v>
      </c>
      <c r="ER27" s="88">
        <f t="shared" ref="ER27" si="463">IFERROR(IF(AND($E28="H",Q27&lt;&gt;""),IF(OR(LEFT(Q27,1)="T",LEFT(Q27,1)="S",LEFT(Q27,1)="A",LEFT(Q27,1)="F",LEFT(Q27,1)="C"),LEFT(Q27,1),"R"),ER$18),"")</f>
        <v>8</v>
      </c>
      <c r="ES27" s="88">
        <f t="shared" ref="ES27" si="464">IFERROR(IF(AND($E28="H",R27&lt;&gt;""),IF(OR(LEFT(R27,1)="T",LEFT(R27,1)="S",LEFT(R27,1)="A",LEFT(R27,1)="F",LEFT(R27,1)="C"),LEFT(R27,1),"R"),ES$18),"")</f>
        <v>9</v>
      </c>
      <c r="ET27" s="88">
        <f t="shared" ref="ET27" si="465">IFERROR(IF(AND($E28="H",S27&lt;&gt;""),IF(OR(LEFT(S27,1)="T",LEFT(S27,1)="S",LEFT(S27,1)="A",LEFT(S27,1)="F",LEFT(S27,1)="C"),LEFT(S27,1),"R"),ET$18),"")</f>
        <v>10</v>
      </c>
      <c r="EU27" s="88">
        <f t="shared" ref="EU27" si="466">IFERROR(IF(AND($E28="H",T27&lt;&gt;""),IF(OR(LEFT(T27,1)="T",LEFT(T27,1)="S",LEFT(T27,1)="A",LEFT(T27,1)="F",LEFT(T27,1)="C"),LEFT(T27,1),"R"),EU$18),"")</f>
        <v>11</v>
      </c>
      <c r="EV27" s="88">
        <f t="shared" ref="EV27" si="467">IFERROR(IF(AND($E28="H",U27&lt;&gt;""),IF(OR(LEFT(U27,1)="T",LEFT(U27,1)="S",LEFT(U27,1)="A",LEFT(U27,1)="F",LEFT(U27,1)="C"),LEFT(U27,1),"R"),EV$18),"")</f>
        <v>12</v>
      </c>
      <c r="EW27" s="88">
        <f t="shared" ref="EW27" si="468">IFERROR(IF(AND($E28="H",V27&lt;&gt;""),IF(OR(LEFT(V27,1)="T",LEFT(V27,1)="S",LEFT(V27,1)="A",LEFT(V27,1)="F",LEFT(V27,1)="C"),LEFT(V27,1),"R"),EW$18),"")</f>
        <v>13</v>
      </c>
      <c r="EX27" s="88">
        <f t="shared" ref="EX27" si="469">IFERROR(IF(AND($E28="H",W27&lt;&gt;""),IF(OR(LEFT(W27,1)="T",LEFT(W27,1)="S",LEFT(W27,1)="A",LEFT(W27,1)="F",LEFT(W27,1)="C"),LEFT(W27,1),"R"),EX$18),"")</f>
        <v>14</v>
      </c>
      <c r="EY27" s="88">
        <f t="shared" ref="EY27" si="470">IFERROR(IF(AND($E28="H",X27&lt;&gt;""),IF(OR(LEFT(X27,1)="T",LEFT(X27,1)="S",LEFT(X27,1)="A",LEFT(X27,1)="F",LEFT(X27,1)="C"),LEFT(X27,1),"R"),EY$18),"")</f>
        <v>15</v>
      </c>
      <c r="EZ27" s="88">
        <f t="shared" ref="EZ27" si="471">IFERROR(IF(AND($E28="H",Y27&lt;&gt;""),IF(OR(LEFT(Y27,1)="T",LEFT(Y27,1)="S",LEFT(Y27,1)="A",LEFT(Y27,1)="F",LEFT(Y27,1)="C"),LEFT(Y27,1),"R"),EZ$18),"")</f>
        <v>16</v>
      </c>
      <c r="FA27" s="88">
        <f t="shared" ref="FA27" si="472">IFERROR(IF(AND($E28="H",Z27&lt;&gt;""),IF(OR(LEFT(Z27,1)="T",LEFT(Z27,1)="S",LEFT(Z27,1)="A",LEFT(Z27,1)="F",LEFT(Z27,1)="C"),LEFT(Z27,1),"R"),FA$18),"")</f>
        <v>17</v>
      </c>
      <c r="FB27" s="88">
        <f t="shared" ref="FB27" si="473">IFERROR(IF(AND($E28="H",AA27&lt;&gt;""),IF(OR(LEFT(AA27,1)="T",LEFT(AA27,1)="S",LEFT(AA27,1)="A",LEFT(AA27,1)="F",LEFT(AA27,1)="C"),LEFT(AA27,1),"R"),FB$18),"")</f>
        <v>18</v>
      </c>
      <c r="FC27" s="88">
        <f t="shared" ref="FC27" si="474">IFERROR(IF(AND($E28="H",AB27&lt;&gt;""),IF(OR(LEFT(AB27,1)="T",LEFT(AB27,1)="S",LEFT(AB27,1)="A",LEFT(AB27,1)="F",LEFT(AB27,1)="C"),LEFT(AB27,1),"R"),FC$18),"")</f>
        <v>19</v>
      </c>
      <c r="FD27" s="88">
        <f t="shared" ref="FD27" si="475">IFERROR(IF(AND($E28="H",AC27&lt;&gt;""),IF(OR(LEFT(AC27,1)="T",LEFT(AC27,1)="S",LEFT(AC27,1)="A",LEFT(AC27,1)="F",LEFT(AC27,1)="C"),LEFT(AC27,1),"R"),FD$18),"")</f>
        <v>20</v>
      </c>
      <c r="FE27" s="88">
        <f t="shared" ref="FE27" si="476">IFERROR(IF(AND($E28="H",AD27&lt;&gt;""),IF(OR(LEFT(AD27,1)="T",LEFT(AD27,1)="S",LEFT(AD27,1)="A",LEFT(AD27,1)="F",LEFT(AD27,1)="C"),LEFT(AD27,1),"R"),FE$18),"")</f>
        <v>21</v>
      </c>
      <c r="FF27" s="88">
        <f t="shared" ref="FF27" si="477">IFERROR(IF(AND($E28="H",AE27&lt;&gt;""),IF(OR(LEFT(AE27,1)="T",LEFT(AE27,1)="S",LEFT(AE27,1)="A",LEFT(AE27,1)="F",LEFT(AE27,1)="C"),LEFT(AE27,1),"R"),FF$18),"")</f>
        <v>22</v>
      </c>
      <c r="FG27" s="88">
        <f t="shared" ref="FG27" si="478">IFERROR(IF(AND($E28="H",AF27&lt;&gt;""),IF(OR(LEFT(AF27,1)="T",LEFT(AF27,1)="S",LEFT(AF27,1)="A",LEFT(AF27,1)="F",LEFT(AF27,1)="C"),LEFT(AF27,1),"R"),FG$18),"")</f>
        <v>23</v>
      </c>
      <c r="FH27" s="88">
        <f t="shared" ref="FH27" si="479">IFERROR(IF(AND($E28="H",AG27&lt;&gt;""),IF(OR(LEFT(AG27,1)="T",LEFT(AG27,1)="S",LEFT(AG27,1)="A",LEFT(AG27,1)="F",LEFT(AG27,1)="C"),LEFT(AG27,1),"R"),FH$18),"")</f>
        <v>24</v>
      </c>
      <c r="FI27" s="88">
        <f t="shared" ref="FI27" si="480">IFERROR(IF(AND($E28="H",AH27&lt;&gt;""),IF(OR(LEFT(AH27,1)="T",LEFT(AH27,1)="S",LEFT(AH27,1)="A",LEFT(AH27,1)="F",LEFT(AH27,1)="C"),LEFT(AH27,1),"R"),FI$18),"")</f>
        <v>25</v>
      </c>
      <c r="FJ27" s="88">
        <f t="shared" ref="FJ27" si="481">IFERROR(IF(AND($E28="H",AI27&lt;&gt;""),IF(OR(LEFT(AI27,1)="T",LEFT(AI27,1)="S",LEFT(AI27,1)="A",LEFT(AI27,1)="F",LEFT(AI27,1)="C"),LEFT(AI27,1),"R"),FJ$18),"")</f>
        <v>26</v>
      </c>
      <c r="FK27" s="88">
        <f t="shared" ref="FK27" si="482">IFERROR(IF(AND($E28="H",AJ27&lt;&gt;""),IF(OR(LEFT(AJ27,1)="T",LEFT(AJ27,1)="S",LEFT(AJ27,1)="A",LEFT(AJ27,1)="F",LEFT(AJ27,1)="C"),LEFT(AJ27,1),"R"),FK$18),"")</f>
        <v>27</v>
      </c>
      <c r="FL27" s="88">
        <f t="shared" ref="FL27" si="483">IFERROR(IF(AND($E28="H",AK27&lt;&gt;""),IF(OR(LEFT(AK27,1)="T",LEFT(AK27,1)="S",LEFT(AK27,1)="A",LEFT(AK27,1)="F",LEFT(AK27,1)="C"),LEFT(AK27,1),"R"),FL$18),"")</f>
        <v>28</v>
      </c>
      <c r="FM27" s="88">
        <f t="shared" ref="FM27" si="484">IFERROR(IF(AND($E28="H",AL27&lt;&gt;""),IF(OR(LEFT(AL27,1)="T",LEFT(AL27,1)="S",LEFT(AL27,1)="A",LEFT(AL27,1)="F",LEFT(AL27,1)="C"),LEFT(AL27,1),"R"),FM$18),"")</f>
        <v>29</v>
      </c>
      <c r="FN27" s="88">
        <f t="shared" ref="FN27" si="485">IFERROR(IF(AND($E28="H",AM27&lt;&gt;""),IF(OR(LEFT(AM27,1)="T",LEFT(AM27,1)="S",LEFT(AM27,1)="A",LEFT(AM27,1)="F",LEFT(AM27,1)="C"),LEFT(AM27,1),"R"),FN$18),"")</f>
        <v>30</v>
      </c>
      <c r="FO27" s="88"/>
      <c r="FP27" s="88"/>
      <c r="FQ27" s="88"/>
      <c r="FR27" s="285"/>
      <c r="FS27" s="285"/>
      <c r="FT27" s="285"/>
      <c r="FU27" s="285"/>
      <c r="FV27" s="285"/>
      <c r="FW27" s="285"/>
      <c r="FX27" s="285"/>
      <c r="FY27" s="285"/>
      <c r="FZ27" s="285"/>
      <c r="GA27" s="285"/>
      <c r="GB27" s="285"/>
      <c r="GC27" s="285"/>
      <c r="GD27" s="285"/>
      <c r="GE27" s="285"/>
      <c r="GF27" s="285"/>
      <c r="GG27" s="285"/>
      <c r="GH27" s="285"/>
      <c r="GI27" s="285"/>
      <c r="GJ27" s="285"/>
      <c r="GK27" s="285"/>
      <c r="GL27" s="285"/>
      <c r="GM27" s="285"/>
      <c r="GN27" s="285"/>
      <c r="GO27" s="285"/>
      <c r="GP27" s="285"/>
      <c r="GQ27" s="285"/>
      <c r="GR27" s="285"/>
      <c r="GS27" s="285"/>
      <c r="GT27" s="285"/>
      <c r="GU27" s="285"/>
      <c r="GV27" s="88"/>
      <c r="GW27" s="88">
        <f t="shared" ref="GW27" si="486">COUNTIF($EK27:$FN27,GW$18)</f>
        <v>0</v>
      </c>
      <c r="GX27" s="88">
        <f t="shared" si="29"/>
        <v>0</v>
      </c>
      <c r="GY27" s="88">
        <f t="shared" si="29"/>
        <v>0</v>
      </c>
      <c r="GZ27" s="88">
        <f t="shared" si="29"/>
        <v>0</v>
      </c>
      <c r="HA27" s="88">
        <f t="shared" si="29"/>
        <v>0</v>
      </c>
      <c r="HB27" s="88">
        <f t="shared" si="29"/>
        <v>0</v>
      </c>
      <c r="HC27" s="88"/>
      <c r="HD27" s="88" t="str">
        <f t="shared" ref="HD27" si="487">IF(AND($F27="Hybrid - Thrust + 2 connections",HD28=0,LEFT($J27,1)="C",LEFT($K27,1)="C",LEFT($L27,1)="C"),"X","")</f>
        <v/>
      </c>
      <c r="HE27" s="88"/>
      <c r="HF27" s="91"/>
      <c r="HG27" s="100"/>
      <c r="HH27" s="100"/>
      <c r="HI27" s="91" t="str">
        <f t="shared" ref="HI27" si="488">IF(E28=3,IF(_xlfn.NUMBERVALUE(LEFT(J27,1))&gt;0,_xlfn.NUMBERVALUE(LEFT(J27,1)),""),"")</f>
        <v/>
      </c>
      <c r="HK27" s="91" t="str">
        <f t="shared" ref="HK27" si="489">IF(OR(E28="B",E28="P"),E28,"")</f>
        <v/>
      </c>
      <c r="HL27" s="91" t="str">
        <f>IF(AND(J27&lt;&gt;"",HK27&lt;&gt;""),IF(HK27="B",MATCH(J27,AcroDD!$U$3:$AE$3,0),MATCH(J27,AcroDD!$U$30:$AC$30,0)),"")</f>
        <v/>
      </c>
      <c r="HM27" s="91" t="str">
        <f t="shared" ref="HM27" si="490">IF(AND(K27&lt;&gt;"",HK27&lt;&gt;""),K27,"")</f>
        <v/>
      </c>
      <c r="HN27" s="91" t="str">
        <f>_xlfn.LET(_xlpm.lista,IF(HK27="B",INDEX(AcroDD!$T$4:$AE$23,0,HL27+1),INDEX(AcroDD!$T$31:$AC$50,0,HL27+1)),IF(AND(OR(HK27="B",HK27="P"),HL27&lt;&gt;"",HM27&lt;&gt;""),IF(ISNUMBER(MATCH(HM27,_xlpm.lista,0)),"OK","X"),""))</f>
        <v/>
      </c>
    </row>
    <row r="28" spans="1:222" ht="12.75" customHeight="1" x14ac:dyDescent="0.35">
      <c r="A28" s="28"/>
      <c r="B28" s="29"/>
      <c r="C28" s="29"/>
      <c r="D28" s="29"/>
      <c r="E28" s="17" t="str">
        <f>IF(F27="Acrobatic - Pair","PA",IF(F27="Acrobatic Airborn","A",IF(F27="Acrobatic Balance","B",IF(F27="Acrobatic Combined","C",IF(F27="Acrobatic Platform","P",IF(F27="Technical Required Element",3,IF(LEFT(F27,4)="Hybr","H","")))))))</f>
        <v/>
      </c>
      <c r="F28" s="17" t="str">
        <f>IF(AND(F27="Hybrid - Thrust + 2 connections",CR27="X"),"Hybrid - Thrust",IF(OR(E28="A",E28="B",E28="C",E28="P"),"Acrobatic",""))</f>
        <v/>
      </c>
      <c r="G28" s="31"/>
      <c r="H28" s="182" t="str">
        <f t="shared" ref="H28" si="491">IF(E28="PA",IF(OR(LEFT(J27,1)="L",LEFT(J27,1)="S"),"A-Pair-Lift",IF(OR(LEFT(J27,1)="W",LEFT(J27,1)="T"),"A-Pair-Throw",IF(LEFT(J27,1)="J","A-Pair-Jump","A-Pair"))),IF(OR(E28="A",E28="B",E28="C",E28="P"),CONCATENATE("Acro-",E28),""))</f>
        <v/>
      </c>
      <c r="I28" s="176" t="e">
        <f>IF(OR(F27="Hybrid - Choreography (DD = 1)",LEFT(F27,5)="Trans"),0,INDEX($BY$3:$BY$9,MATCH(E28,$BX$3:$BX$9,0)))</f>
        <v>#N/A</v>
      </c>
      <c r="J28" s="171">
        <f ca="1">IFERROR(IF($H27="No DD",IF(J27="ChoHY",1,0),IF(OR(ISBLANK(J27),J27="N/A"),0,INDEX(INDIRECT(BI28),MATCH(J27,INDIRECT(BI27),0)))),0)</f>
        <v>0</v>
      </c>
      <c r="K28" s="171">
        <f t="shared" ref="K28" ca="1" si="492">IFERROR(IF($H27="No DD",0,IF(OR(ISBLANK(K27),K27="N/A"),0,INDEX(INDIRECT(BJ28),MATCH(K27,INDIRECT(BJ27),0)))),0)</f>
        <v>0</v>
      </c>
      <c r="L28" s="171">
        <f t="shared" ref="L28" ca="1" si="493">IFERROR(IF($H27="No DD",0,IF(OR(ISBLANK(L27),L27="N/A"),0,INDEX(INDIRECT(BK28),MATCH(L27,INDIRECT(BK27),0)))),0)</f>
        <v>0</v>
      </c>
      <c r="M28" s="171">
        <f t="shared" ref="M28" ca="1" si="494">IFERROR(IF($H27="No DD",0,IF(OR(ISBLANK(M27),M27="N/A"),0,INDEX(INDIRECT(BL28),MATCH(M27,INDIRECT(BL27),0)))),0)</f>
        <v>0</v>
      </c>
      <c r="N28" s="171">
        <f t="shared" ref="N28" ca="1" si="495">IFERROR(IF($H27="No DD",0,IF(OR(ISBLANK(N27),N27="N/A"),0,INDEX(INDIRECT(BM28),MATCH(N27,INDIRECT(BM27),0)))),0)</f>
        <v>0</v>
      </c>
      <c r="O28" s="171">
        <f t="shared" ref="O28" ca="1" si="496">IFERROR(IF($H27="No DD",0,IF(OR(ISBLANK(O27),O27="N/A"),0,INDEX(INDIRECT(BN28),MATCH(O27,INDIRECT(BN27),0)))),0)</f>
        <v>0</v>
      </c>
      <c r="P28" s="171">
        <f t="shared" ref="P28" ca="1" si="497">IFERROR(IF($H27="No DD",0,IF(OR(ISBLANK(P27),P27="N/A"),0,INDEX(INDIRECT(BO28),MATCH(P27,INDIRECT(BO27),0)))),0)</f>
        <v>0</v>
      </c>
      <c r="Q28" s="171">
        <f t="shared" ref="Q28" ca="1" si="498">IFERROR(IF($H27="No DD",0,IF(OR(ISBLANK(Q27),Q27="N/A"),0,INDEX(INDIRECT(BP28),MATCH(Q27,INDIRECT(BP27),0)))),0)</f>
        <v>0</v>
      </c>
      <c r="R28" s="171">
        <f t="shared" ref="R28" ca="1" si="499">IFERROR(IF($H27="No DD",0,IF(OR(ISBLANK(R27),R27="N/A"),0,INDEX(INDIRECT(BQ28),MATCH(R27,INDIRECT(BQ27),0)))),0)</f>
        <v>0</v>
      </c>
      <c r="S28" s="171">
        <f t="shared" ref="S28" ca="1" si="500">IFERROR(IF($H27="No DD",0,IF(OR(ISBLANK(S27),S27="N/A"),0,INDEX(INDIRECT(BR28),MATCH(S27,INDIRECT(BR27),0)))),0)</f>
        <v>0</v>
      </c>
      <c r="T28" s="171">
        <f t="shared" ref="T28" ca="1" si="501">IFERROR(IF($H27="No DD",0,IF(OR(ISBLANK(T27),T27="N/A"),0,INDEX(INDIRECT(BS28),MATCH(T27,INDIRECT(BS27),0)))),0)</f>
        <v>0</v>
      </c>
      <c r="U28" s="171">
        <f t="shared" ref="U28" ca="1" si="502">IFERROR(IF($H27="No DD",0,IF(OR(ISBLANK(U27),U27="N/A"),0,INDEX(INDIRECT(BT28),MATCH(U27,INDIRECT(BT27),0)))),0)</f>
        <v>0</v>
      </c>
      <c r="V28" s="171">
        <f t="shared" ref="V28" ca="1" si="503">IFERROR(IF($H27="No DD",0,IF(OR(ISBLANK(V27),V27="N/A"),0,INDEX(INDIRECT(BU28),MATCH(V27,INDIRECT(BU27),0)))),0)</f>
        <v>0</v>
      </c>
      <c r="W28" s="171">
        <f t="shared" ref="W28" ca="1" si="504">IFERROR(IF($H27="No DD",0,IF(OR(ISBLANK(W27),W27="N/A"),0,INDEX(INDIRECT(BV28),MATCH(W27,INDIRECT(BV27),0)))),0)</f>
        <v>0</v>
      </c>
      <c r="X28" s="171">
        <f t="shared" ref="X28" ca="1" si="505">IFERROR(IF($H27="No DD",0,IF(OR(ISBLANK(X27),X27="N/A"),0,INDEX(INDIRECT(BW28),MATCH(X27,INDIRECT(BW27),0)))),0)</f>
        <v>0</v>
      </c>
      <c r="Y28" s="171">
        <f t="shared" ref="Y28" ca="1" si="506">IFERROR(IF($H27="No DD",0,IF(OR(ISBLANK(Y27),Y27="N/A"),0,INDEX(INDIRECT(BX28),MATCH(Y27,INDIRECT(BX27),0)))),0)</f>
        <v>0</v>
      </c>
      <c r="Z28" s="171">
        <f t="shared" ref="Z28" ca="1" si="507">IFERROR(IF($H27="No DD",0,IF(OR(ISBLANK(Z27),Z27="N/A"),0,INDEX(INDIRECT(BY28),MATCH(Z27,INDIRECT(BY27),0)))),0)</f>
        <v>0</v>
      </c>
      <c r="AA28" s="171">
        <f t="shared" ref="AA28" ca="1" si="508">IFERROR(IF($H27="No DD",0,IF(OR(ISBLANK(AA27),AA27="N/A"),0,INDEX(INDIRECT(BZ28),MATCH(AA27,INDIRECT(BZ27),0)))),0)</f>
        <v>0</v>
      </c>
      <c r="AB28" s="171">
        <f t="shared" ref="AB28" ca="1" si="509">IFERROR(IF($H27="No DD",0,IF(OR(ISBLANK(AB27),AB27="N/A"),0,INDEX(INDIRECT(CA28),MATCH(AB27,INDIRECT(CA27),0)))),0)</f>
        <v>0</v>
      </c>
      <c r="AC28" s="171">
        <f t="shared" ref="AC28" ca="1" si="510">IFERROR(IF($H27="No DD",0,IF(OR(ISBLANK(AC27),AC27="N/A"),0,INDEX(INDIRECT(CB28),MATCH(AC27,INDIRECT(CB27),0)))),0)</f>
        <v>0</v>
      </c>
      <c r="AD28" s="171">
        <f t="shared" ref="AD28" ca="1" si="511">IFERROR(IF($H27="No DD",0,IF(OR(ISBLANK(AD27),AD27="N/A"),0,INDEX(INDIRECT(CC28),MATCH(AD27,INDIRECT(CC27),0)))),0)</f>
        <v>0</v>
      </c>
      <c r="AE28" s="171">
        <f t="shared" ref="AE28" ca="1" si="512">IFERROR(IF($H27="No DD",0,IF(OR(ISBLANK(AE27),AE27="N/A"),0,INDEX(INDIRECT(CD28),MATCH(AE27,INDIRECT(CD27),0)))),0)</f>
        <v>0</v>
      </c>
      <c r="AF28" s="171">
        <f t="shared" ref="AF28" ca="1" si="513">IFERROR(IF($H27="No DD",0,IF(OR(ISBLANK(AF27),AF27="N/A"),0,INDEX(INDIRECT(CE28),MATCH(AF27,INDIRECT(CE27),0)))),0)</f>
        <v>0</v>
      </c>
      <c r="AG28" s="171">
        <f t="shared" ref="AG28" ca="1" si="514">IFERROR(IF($H27="No DD",0,IF(OR(ISBLANK(AG27),AG27="N/A"),0,INDEX(INDIRECT(CF28),MATCH(AG27,INDIRECT(CF27),0)))),0)</f>
        <v>0</v>
      </c>
      <c r="AH28" s="171">
        <f t="shared" ref="AH28" ca="1" si="515">IFERROR(IF($H27="No DD",0,IF(OR(ISBLANK(AH27),AH27="N/A"),0,INDEX(INDIRECT(CG28),MATCH(AH27,INDIRECT(CG27),0)))),0)</f>
        <v>0</v>
      </c>
      <c r="AI28" s="171">
        <f t="shared" ref="AI28" ca="1" si="516">IFERROR(IF($H27="No DD",0,IF(OR(ISBLANK(AI27),AI27="N/A"),0,INDEX(INDIRECT(CH28),MATCH(AI27,INDIRECT(CH27),0)))),0)</f>
        <v>0</v>
      </c>
      <c r="AJ28" s="171">
        <f t="shared" ref="AJ28" ca="1" si="517">IFERROR(IF($H27="No DD",0,IF(OR(ISBLANK(AJ27),AJ27="N/A"),0,INDEX(INDIRECT(CI28),MATCH(AJ27,INDIRECT(CI27),0)))),0)</f>
        <v>0</v>
      </c>
      <c r="AK28" s="171">
        <f t="shared" ref="AK28" ca="1" si="518">IFERROR(IF($H27="No DD",0,IF(OR(ISBLANK(AK27),AK27="N/A"),0,INDEX(INDIRECT(CJ28),MATCH(AK27,INDIRECT(CJ27),0)))),0)</f>
        <v>0</v>
      </c>
      <c r="AL28" s="171">
        <f t="shared" ref="AL28" ca="1" si="519">IFERROR(IF($H27="No DD",0,IF(OR(ISBLANK(AL27),AL27="N/A"),0,INDEX(INDIRECT(CK28),MATCH(AL27,INDIRECT(CK27),0)))),0)</f>
        <v>0</v>
      </c>
      <c r="AM28" s="171">
        <f t="shared" ref="AM28" ca="1" si="520">IFERROR(IF($H27="No DD",0,IF(OR(ISBLANK(AM27),AM27="N/A"),0,INDEX(INDIRECT(CL28),MATCH(AM27,INDIRECT(CL27),0)))),0)</f>
        <v>0</v>
      </c>
      <c r="AN28" s="172" t="str">
        <f>IFERROR(IF(E28="H",INDEX(HybridBonus_Value,MATCH(AN27,HybridBonus_Code,0)),""),"")</f>
        <v/>
      </c>
      <c r="AO28" s="276" t="str">
        <f t="shared" ref="AO28" si="521">IFERROR(SUM(I28:AN28),"")</f>
        <v/>
      </c>
      <c r="AP28" s="62"/>
      <c r="AQ28" s="62"/>
      <c r="AR28" s="101"/>
      <c r="AS28" s="101"/>
      <c r="AT28" s="101"/>
      <c r="AU28" s="101"/>
      <c r="AV28" s="101"/>
      <c r="BA28" s="90"/>
      <c r="BB28" s="101"/>
      <c r="BC28" s="101"/>
      <c r="BD28" s="101"/>
      <c r="BE28" s="101"/>
      <c r="BF28" s="101"/>
      <c r="BG28" s="90"/>
      <c r="BH28" s="101"/>
      <c r="BI28" s="91" t="str">
        <f t="shared" ref="BI28" si="522">IF($E28="H",IF($F27="Hybrid - Thrust + 2 connections","Hybrid_Mix_Req_Value","HybridDD_Value"),IF($E28=3,"TreDD_Value",IF($E28="PA","AcroPair_Value",IF(LEFT($F27,4)="Acro",CONCATENATE(BI$16,$E28,"_Value"),""))))</f>
        <v/>
      </c>
      <c r="BJ28" s="91" t="str">
        <f t="shared" ref="BJ28" si="523">IF($E28="H",IF($F27="Hybrid - Thrust + 2 connections","Hybrid_Mix_Req_Value","HybridDD_Value"),IF($E28=3,"TreDD_Value",IF($E28="PA","AcroPair_Value",IF(LEFT($F27,4)="Acro",CONCATENATE(BJ$16,$E28,"_Value"),""))))</f>
        <v/>
      </c>
      <c r="BK28" s="91" t="str">
        <f t="shared" ref="BK28" si="524">IF($E28="H",IF($F27="Hybrid - Thrust + 2 connections","Hybrid_Mix_Req_Value","HybridDD_Value"),IF($E28=3,"TreDD_Value",IF($E28="PA","AcroPair_Value",IF(LEFT($F27,4)="Acro",CONCATENATE(BK$16,$E28,"_Value"),""))))</f>
        <v/>
      </c>
      <c r="BL28" s="91" t="str">
        <f t="shared" ref="BL28" si="525">IF($E28="H",IF($F27="Hybrid - Thrust + 2 connections","Hybrid_Mix_Req_Value","HybridDD_Value"),IF($E28=3,"TreDD_Value",IF($E28="PA","AcroPair_Value",IF(LEFT($F27,4)="Acro",CONCATENATE(BL$16,$E28,"_Value"),""))))</f>
        <v/>
      </c>
      <c r="BM28" s="91" t="str">
        <f t="shared" ref="BM28" si="526">IF($E28="H",IF($F27="Hybrid - Thrust + 2 connections","Hybrid_Mix_Req_Value","HybridDD_Value"),IF($E28=3,"TreDD_Value",IF($E28="PA","AcroPair_Value",IF(LEFT($F27,4)="Acro",CONCATENATE(BM$16,$E28,"_Value"),""))))</f>
        <v/>
      </c>
      <c r="BN28" s="91" t="str">
        <f t="shared" ref="BN28" si="527">IF($E28="H",IF($F27="Hybrid - Thrust + 2 connections","Hybrid_Mix_Req_Value","HybridDD_Value"),IF($E28=3,"TreDD_Value",IF($E28="PA","AcroPair_Value",IF(LEFT($F27,4)="Acro",CONCATENATE(BN$16,$E28,"_Value"),""))))</f>
        <v/>
      </c>
      <c r="BO28" s="91" t="str">
        <f t="shared" ref="BO28" si="528">IF($E28="H",IF($F27="Hybrid - Thrust + 2 connections","Hybrid_Mix_Req_Value","HybridDD_Value"),IF($E28=3,"TreDD_Value",IF($E28="PA","AcroPair_Value",IF(LEFT($F27,4)="Acro",CONCATENATE(BO$16,$E28,"_Value"),""))))</f>
        <v/>
      </c>
      <c r="BP28" s="91" t="str">
        <f t="shared" ref="BP28" si="529">IF($E28="H",IF($F27="Hybrid - Thrust + 2 connections","Hybrid_Mix_Req_Value","HybridDD_Value"),IF($E28=3,"TreDD_Value",IF($E28="PA","AcroPair_Value",IF(LEFT($F27,4)="Acro",CONCATENATE(BP$16,$E28,"_Value"),""))))</f>
        <v/>
      </c>
      <c r="BQ28" s="91" t="str">
        <f t="shared" ref="BQ28" si="530">IF($E28="H",IF($F27="Hybrid - Thrust + 2 connections","Hybrid_Mix_Req_Value","HybridDD_Value"),IF($E28=3,"TreDD_Value",IF($E28="PA","AcroPair_Value",IF(LEFT($F27,4)="Acro",CONCATENATE(BQ$16,$E28,"_Value"),""))))</f>
        <v/>
      </c>
      <c r="BR28" s="90" t="str">
        <f t="shared" ref="BR28" si="531">IF($E28="H",IF($F27="Hybrid - Thrust + 2 connections","Data!$BI$1:$BI$5","HybridDD_Value"),"Data!$BI$1:$BI$5")</f>
        <v>Data!$BI$1:$BI$5</v>
      </c>
      <c r="BS28" s="90" t="str">
        <f t="shared" ref="BS28" si="532">IF($E28="H",IF($F27="Hybrid - Thrust + 2 connections","Data!$BI$1:$BI$5","HybridDD_Value"),"Data!$BI$1:$BI$5")</f>
        <v>Data!$BI$1:$BI$5</v>
      </c>
      <c r="BT28" s="90" t="str">
        <f t="shared" ref="BT28" si="533">IF($E28="H",IF($F27="Hybrid - Thrust + 2 connections","Data!$BI$1:$BI$5","HybridDD_Value"),"Data!$BI$1:$BI$5")</f>
        <v>Data!$BI$1:$BI$5</v>
      </c>
      <c r="BU28" s="90" t="str">
        <f t="shared" ref="BU28" si="534">IF($E28="H",IF($F27="Hybrid - Thrust + 2 connections","Data!$BI$1:$BI$5","HybridDD_Value"),"Data!$BI$1:$BI$5")</f>
        <v>Data!$BI$1:$BI$5</v>
      </c>
      <c r="BV28" s="90" t="str">
        <f t="shared" ref="BV28" si="535">IF($E28="H",IF($F27="Hybrid - Thrust + 2 connections","Data!$BI$1:$BI$5","HybridDD_Value"),"Data!$BI$1:$BI$5")</f>
        <v>Data!$BI$1:$BI$5</v>
      </c>
      <c r="BW28" s="90" t="str">
        <f t="shared" ref="BW28" si="536">IF($E28="H",IF($F27="Hybrid - Thrust + 2 connections","Data!$BI$1:$BI$5","HybridDD_Value"),"Data!$BI$1:$BI$5")</f>
        <v>Data!$BI$1:$BI$5</v>
      </c>
      <c r="BX28" s="90" t="str">
        <f t="shared" ref="BX28" si="537">IF($E28="H",IF($F27="Hybrid - Thrust + 2 connections","Data!$BI$1:$BI$5","HybridDD_Value"),"Data!$BI$1:$BI$5")</f>
        <v>Data!$BI$1:$BI$5</v>
      </c>
      <c r="BY28" s="90" t="str">
        <f t="shared" ref="BY28" si="538">IF($E28="H",IF($F27="Hybrid - Thrust + 2 connections","Data!$BI$1:$BI$5","HybridDD_Value"),"Data!$BI$1:$BI$5")</f>
        <v>Data!$BI$1:$BI$5</v>
      </c>
      <c r="BZ28" s="90" t="str">
        <f t="shared" ref="BZ28" si="539">IF($E28="H",IF($F27="Hybrid - Thrust + 2 connections","Data!$BI$1:$BI$5","HybridDD_Value"),"Data!$BI$1:$BI$5")</f>
        <v>Data!$BI$1:$BI$5</v>
      </c>
      <c r="CA28" s="90" t="str">
        <f t="shared" ref="CA28" si="540">IF($E28="H",IF($F27="Hybrid - Thrust + 2 connections","Data!$BI$1:$BI$5","HybridDD_Value"),"Data!$BI$1:$BI$5")</f>
        <v>Data!$BI$1:$BI$5</v>
      </c>
      <c r="CB28" s="90" t="str">
        <f t="shared" ref="CB28" si="541">IF($E28="H",IF($F27="Hybrid - Thrust + 2 connections","Data!$BI$1:$BI$5","HybridDD_Value"),"Data!$BI$1:$BI$5")</f>
        <v>Data!$BI$1:$BI$5</v>
      </c>
      <c r="CC28" s="90" t="str">
        <f t="shared" ref="CC28" si="542">IF($E28="H",IF($F27="Hybrid - Thrust + 2 connections","Data!$BI$1:$BI$5","HybridDD_Value"),"Data!$BI$1:$BI$5")</f>
        <v>Data!$BI$1:$BI$5</v>
      </c>
      <c r="CD28" s="90" t="str">
        <f t="shared" ref="CD28" si="543">IF($E28="H",IF($F27="Hybrid - Thrust + 2 connections","Data!$BI$1:$BI$5","HybridDD_Value"),"Data!$BI$1:$BI$5")</f>
        <v>Data!$BI$1:$BI$5</v>
      </c>
      <c r="CE28" s="90" t="str">
        <f t="shared" ref="CE28" si="544">IF($E28="H",IF($F27="Hybrid - Thrust + 2 connections","Data!$BI$1:$BI$5","HybridDD_Value"),"Data!$BI$1:$BI$5")</f>
        <v>Data!$BI$1:$BI$5</v>
      </c>
      <c r="CF28" s="90" t="str">
        <f t="shared" ref="CF28" si="545">IF($E28="H",IF($F27="Hybrid - Thrust + 2 connections","Data!$BI$1:$BI$5","HybridDD_Value"),"Data!$BI$1:$BI$5")</f>
        <v>Data!$BI$1:$BI$5</v>
      </c>
      <c r="CG28" s="90" t="str">
        <f t="shared" ref="CG28" si="546">IF($E28="H",IF($F27="Hybrid - Thrust + 2 connections","Data!$BI$1:$BI$5","HybridDD_Value"),"Data!$BI$1:$BI$5")</f>
        <v>Data!$BI$1:$BI$5</v>
      </c>
      <c r="CH28" s="90" t="str">
        <f t="shared" ref="CH28" si="547">IF($E28="H",IF($F27="Hybrid - Thrust + 2 connections","Data!$BI$1:$BI$5","HybridDD_Value"),"Data!$BI$1:$BI$5")</f>
        <v>Data!$BI$1:$BI$5</v>
      </c>
      <c r="CI28" s="90" t="str">
        <f t="shared" ref="CI28" si="548">IF($E28="H",IF($F27="Hybrid - Thrust + 2 connections","Data!$BI$1:$BI$5","HybridDD_Value"),"Data!$BI$1:$BI$5")</f>
        <v>Data!$BI$1:$BI$5</v>
      </c>
      <c r="CJ28" s="90" t="str">
        <f t="shared" ref="CJ28" si="549">IF($E28="H",IF($F27="Hybrid - Thrust + 2 connections","Data!$BI$1:$BI$5","HybridDD_Value"),"Data!$BI$1:$BI$5")</f>
        <v>Data!$BI$1:$BI$5</v>
      </c>
      <c r="CK28" s="90" t="str">
        <f t="shared" ref="CK28" si="550">IF($E28="H",IF($F27="Hybrid - Thrust + 2 connections","Data!$BI$1:$BI$5","HybridDD_Value"),"Data!$BI$1:$BI$5")</f>
        <v>Data!$BI$1:$BI$5</v>
      </c>
      <c r="CL28" s="90" t="str">
        <f t="shared" ref="CL28" si="551">IF($E28="H",IF($F27="Hybrid - Thrust + 2 connections","Data!$BI$1:$BI$5","HybridDD_Value"),"Data!$BI$1:$BI$5")</f>
        <v>Data!$BI$1:$BI$5</v>
      </c>
      <c r="CM28" s="101"/>
      <c r="CN28" s="101"/>
      <c r="CO28" s="102" t="str">
        <f>IFERROR(IF(AND($BV$6="T",$BV$8="T",LEFT(F27,4)="Acro",AO28&gt;3),"X",IF($N$7="X",IF(AND(E28="C",AO28&gt;$CN$6),"X",IF(AND(E28="A",AO28&gt;$CN$4),"X",IF(AND(E28="B",AO28&gt;$CN$5),"X",IF(AND(E28="P",AO28&gt;$CN$7),"X","")))),"")),"")</f>
        <v/>
      </c>
      <c r="CP28" s="94"/>
      <c r="CQ28" s="91"/>
      <c r="CS28" s="91"/>
      <c r="CT28" s="91"/>
      <c r="CU28" s="91"/>
      <c r="CV28" s="91"/>
      <c r="CW28" s="91"/>
      <c r="CX28" s="91"/>
      <c r="CY28" s="91"/>
      <c r="CZ28" s="91"/>
      <c r="DD28" s="88" t="str">
        <f t="shared" si="10"/>
        <v/>
      </c>
      <c r="DE28" s="88" t="str">
        <f t="shared" si="11"/>
        <v/>
      </c>
      <c r="DF28" s="88" t="str">
        <f t="shared" si="12"/>
        <v/>
      </c>
      <c r="DG28" s="88" t="str">
        <f t="shared" si="13"/>
        <v/>
      </c>
      <c r="DO28" s="88">
        <v>10</v>
      </c>
      <c r="ED28" s="88" t="str">
        <f t="shared" si="14"/>
        <v/>
      </c>
      <c r="EE28" s="88" t="str">
        <f t="shared" si="15"/>
        <v/>
      </c>
      <c r="EI28" s="88" t="str" cm="1">
        <f t="array" ref="EI28">IFERROR(INDEX(EK28:FN28,MATCH(TRUE,INDEX((EK28:FN28&lt;&gt;""),),0)),"")</f>
        <v/>
      </c>
      <c r="EK28" s="88" t="str">
        <f t="shared" ref="EK28" si="552">IF(F27="Hybrid - Thrust + 2 connections",IF(COUNTIF($EK27:$FN27,EK27)&gt;1,EK27,""),IF(COUNTIF($EK27:$FN27,EK27)&gt;5,EK27,""))</f>
        <v/>
      </c>
      <c r="EL28" s="88" t="str">
        <f t="shared" ref="EL28" si="553">IF(G27="Hybrid - Thrust + 2 connections",IF(COUNTIF($EK27:$FN27,EL27)&gt;1,EL27,""),IF(COUNTIF($EK27:$FN27,EL27)&gt;5,EL27,""))</f>
        <v/>
      </c>
      <c r="EM28" s="88" t="str">
        <f t="shared" ref="EM28" si="554">IF(H27="Hybrid - Thrust + 2 connections",IF(COUNTIF($EK27:$FN27,EM27)&gt;1,EM27,""),IF(COUNTIF($EK27:$FN27,EM27)&gt;5,EM27,""))</f>
        <v/>
      </c>
      <c r="EN28" s="88" t="str">
        <f t="shared" ref="EN28" si="555">IF(I27="Hybrid - Thrust + 2 connections",IF(COUNTIF($EK27:$FN27,EN27)&gt;1,EN27,""),IF(COUNTIF($EK27:$FN27,EN27)&gt;5,EN27,""))</f>
        <v/>
      </c>
      <c r="EO28" s="88" t="str">
        <f t="shared" ref="EO28" si="556">IF(J27="Hybrid - Thrust + 2 connections",IF(COUNTIF($EK27:$FN27,EO27)&gt;1,EO27,""),IF(COUNTIF($EK27:$FN27,EO27)&gt;5,EO27,""))</f>
        <v/>
      </c>
      <c r="EP28" s="88" t="str">
        <f t="shared" ref="EP28" si="557">IF(K27="Hybrid - Thrust + 2 connections",IF(COUNTIF($EK27:$FN27,EP27)&gt;1,EP27,""),IF(COUNTIF($EK27:$FN27,EP27)&gt;5,EP27,""))</f>
        <v/>
      </c>
      <c r="EQ28" s="88" t="str">
        <f t="shared" ref="EQ28" si="558">IF(L27="Hybrid - Thrust + 2 connections",IF(COUNTIF($EK27:$FN27,EQ27)&gt;1,EQ27,""),IF(COUNTIF($EK27:$FN27,EQ27)&gt;5,EQ27,""))</f>
        <v/>
      </c>
      <c r="ER28" s="88" t="str">
        <f t="shared" ref="ER28" si="559">IF(M27="Hybrid - Thrust + 2 connections",IF(COUNTIF($EK27:$FN27,ER27)&gt;1,ER27,""),IF(COUNTIF($EK27:$FN27,ER27)&gt;5,ER27,""))</f>
        <v/>
      </c>
      <c r="ES28" s="88" t="str">
        <f t="shared" ref="ES28" si="560">IF(N27="Hybrid - Thrust + 2 connections",IF(COUNTIF($EK27:$FN27,ES27)&gt;1,ES27,""),IF(COUNTIF($EK27:$FN27,ES27)&gt;5,ES27,""))</f>
        <v/>
      </c>
      <c r="ET28" s="88" t="str">
        <f t="shared" ref="ET28" si="561">IF(O27="Hybrid - Thrust + 2 connections",IF(COUNTIF($EK27:$FN27,ET27)&gt;1,ET27,""),IF(COUNTIF($EK27:$FN27,ET27)&gt;5,ET27,""))</f>
        <v/>
      </c>
      <c r="EU28" s="88" t="str">
        <f t="shared" ref="EU28" si="562">IF(P27="Hybrid - Thrust + 2 connections",IF(COUNTIF($EK27:$FN27,EU27)&gt;1,EU27,""),IF(COUNTIF($EK27:$FN27,EU27)&gt;5,EU27,""))</f>
        <v/>
      </c>
      <c r="EV28" s="88" t="str">
        <f t="shared" ref="EV28" si="563">IF(Q27="Hybrid - Thrust + 2 connections",IF(COUNTIF($EK27:$FN27,EV27)&gt;1,EV27,""),IF(COUNTIF($EK27:$FN27,EV27)&gt;5,EV27,""))</f>
        <v/>
      </c>
      <c r="EW28" s="88" t="str">
        <f t="shared" ref="EW28" si="564">IF(R27="Hybrid - Thrust + 2 connections",IF(COUNTIF($EK27:$FN27,EW27)&gt;1,EW27,""),IF(COUNTIF($EK27:$FN27,EW27)&gt;5,EW27,""))</f>
        <v/>
      </c>
      <c r="EX28" s="88" t="str">
        <f t="shared" ref="EX28" si="565">IF(S27="Hybrid - Thrust + 2 connections",IF(COUNTIF($EK27:$FN27,EX27)&gt;1,EX27,""),IF(COUNTIF($EK27:$FN27,EX27)&gt;5,EX27,""))</f>
        <v/>
      </c>
      <c r="EY28" s="88" t="str">
        <f t="shared" ref="EY28" si="566">IF(T27="Hybrid - Thrust + 2 connections",IF(COUNTIF($EK27:$FN27,EY27)&gt;1,EY27,""),IF(COUNTIF($EK27:$FN27,EY27)&gt;5,EY27,""))</f>
        <v/>
      </c>
      <c r="EZ28" s="88" t="str">
        <f t="shared" ref="EZ28" si="567">IF(U27="Hybrid - Thrust + 2 connections",IF(COUNTIF($EK27:$FN27,EZ27)&gt;1,EZ27,""),IF(COUNTIF($EK27:$FN27,EZ27)&gt;5,EZ27,""))</f>
        <v/>
      </c>
      <c r="FA28" s="88" t="str">
        <f t="shared" ref="FA28" si="568">IF(V27="Hybrid - Thrust + 2 connections",IF(COUNTIF($EK27:$FN27,FA27)&gt;1,FA27,""),IF(COUNTIF($EK27:$FN27,FA27)&gt;5,FA27,""))</f>
        <v/>
      </c>
      <c r="FB28" s="88" t="str">
        <f t="shared" ref="FB28" si="569">IF(W27="Hybrid - Thrust + 2 connections",IF(COUNTIF($EK27:$FN27,FB27)&gt;1,FB27,""),IF(COUNTIF($EK27:$FN27,FB27)&gt;5,FB27,""))</f>
        <v/>
      </c>
      <c r="FC28" s="88" t="str">
        <f t="shared" ref="FC28" si="570">IF(X27="Hybrid - Thrust + 2 connections",IF(COUNTIF($EK27:$FN27,FC27)&gt;1,FC27,""),IF(COUNTIF($EK27:$FN27,FC27)&gt;5,FC27,""))</f>
        <v/>
      </c>
      <c r="FD28" s="88" t="str">
        <f t="shared" ref="FD28" si="571">IF(Y27="Hybrid - Thrust + 2 connections",IF(COUNTIF($EK27:$FN27,FD27)&gt;1,FD27,""),IF(COUNTIF($EK27:$FN27,FD27)&gt;5,FD27,""))</f>
        <v/>
      </c>
      <c r="FE28" s="88" t="str">
        <f t="shared" ref="FE28" si="572">IF(Z27="Hybrid - Thrust + 2 connections",IF(COUNTIF($EK27:$FN27,FE27)&gt;1,FE27,""),IF(COUNTIF($EK27:$FN27,FE27)&gt;5,FE27,""))</f>
        <v/>
      </c>
      <c r="FF28" s="88" t="str">
        <f t="shared" ref="FF28" si="573">IF(AA27="Hybrid - Thrust + 2 connections",IF(COUNTIF($EK27:$FN27,FF27)&gt;1,FF27,""),IF(COUNTIF($EK27:$FN27,FF27)&gt;5,FF27,""))</f>
        <v/>
      </c>
      <c r="FG28" s="88" t="str">
        <f t="shared" ref="FG28" si="574">IF(AB27="Hybrid - Thrust + 2 connections",IF(COUNTIF($EK27:$FN27,FG27)&gt;1,FG27,""),IF(COUNTIF($EK27:$FN27,FG27)&gt;5,FG27,""))</f>
        <v/>
      </c>
      <c r="FH28" s="88" t="str">
        <f t="shared" ref="FH28" si="575">IF(AC27="Hybrid - Thrust + 2 connections",IF(COUNTIF($EK27:$FN27,FH27)&gt;1,FH27,""),IF(COUNTIF($EK27:$FN27,FH27)&gt;5,FH27,""))</f>
        <v/>
      </c>
      <c r="FI28" s="88" t="str">
        <f t="shared" ref="FI28" si="576">IF(AD27="Hybrid - Thrust + 2 connections",IF(COUNTIF($EK27:$FN27,FI27)&gt;1,FI27,""),IF(COUNTIF($EK27:$FN27,FI27)&gt;5,FI27,""))</f>
        <v/>
      </c>
      <c r="FJ28" s="88" t="str">
        <f t="shared" ref="FJ28" si="577">IF(AE27="Hybrid - Thrust + 2 connections",IF(COUNTIF($EK27:$FN27,FJ27)&gt;1,FJ27,""),IF(COUNTIF($EK27:$FN27,FJ27)&gt;5,FJ27,""))</f>
        <v/>
      </c>
      <c r="FK28" s="88" t="str">
        <f t="shared" ref="FK28" si="578">IF(AF27="Hybrid - Thrust + 2 connections",IF(COUNTIF($EK27:$FN27,FK27)&gt;1,FK27,""),IF(COUNTIF($EK27:$FN27,FK27)&gt;5,FK27,""))</f>
        <v/>
      </c>
      <c r="FL28" s="88" t="str">
        <f t="shared" ref="FL28" si="579">IF(AG27="Hybrid - Thrust + 2 connections",IF(COUNTIF($EK27:$FN27,FL27)&gt;1,FL27,""),IF(COUNTIF($EK27:$FN27,FL27)&gt;5,FL27,""))</f>
        <v/>
      </c>
      <c r="FM28" s="88" t="str">
        <f t="shared" ref="FM28" si="580">IF(AH27="Hybrid - Thrust + 2 connections",IF(COUNTIF($EK27:$FN27,FM27)&gt;1,FM27,""),IF(COUNTIF($EK27:$FN27,FM27)&gt;5,FM27,""))</f>
        <v/>
      </c>
      <c r="FN28" s="88" t="str">
        <f t="shared" ref="FN28" si="581">IF(AI27="Hybrid - Thrust + 2 connections",IF(COUNTIF($EK27:$FN27,FN27)&gt;1,FN27,""),IF(COUNTIF($EK27:$FN27,FN27)&gt;5,FN27,""))</f>
        <v/>
      </c>
      <c r="FO28" s="88">
        <f t="shared" ref="FO28" si="582">FO26+5</f>
        <v>20</v>
      </c>
      <c r="FP28" s="88" t="str" cm="1">
        <f t="array" ref="FP28">IF(FQ28&lt;&gt;"",LEFT(FQ28,FIND("*",FQ28)-1),INDEX($FP$75:$FP$172,FO28+1))</f>
        <v/>
      </c>
      <c r="FQ28" s="88" t="str" cm="1">
        <f t="array" ref="FQ28">INDEX($FQ$75:$FQ$172,FO28+1)</f>
        <v/>
      </c>
      <c r="FR28" s="285"/>
      <c r="FS28" s="285"/>
      <c r="FT28" s="285"/>
      <c r="FU28" s="285"/>
      <c r="FV28" s="285"/>
      <c r="FW28" s="285"/>
      <c r="FX28" s="285"/>
      <c r="FY28" s="285"/>
      <c r="FZ28" s="285"/>
      <c r="GA28" s="285"/>
      <c r="GB28" s="285"/>
      <c r="GC28" s="285"/>
      <c r="GD28" s="285"/>
      <c r="GE28" s="285"/>
      <c r="GF28" s="285"/>
      <c r="GG28" s="285"/>
      <c r="GH28" s="285"/>
      <c r="GI28" s="285"/>
      <c r="GJ28" s="285"/>
      <c r="GK28" s="285"/>
      <c r="GL28" s="285"/>
      <c r="GM28" s="285"/>
      <c r="GN28" s="285"/>
      <c r="GO28" s="285"/>
      <c r="GP28" s="285"/>
      <c r="GQ28" s="285"/>
      <c r="GR28" s="285"/>
      <c r="GS28" s="285"/>
      <c r="GT28" s="285"/>
      <c r="GU28" s="285"/>
      <c r="GV28" s="88"/>
      <c r="GW28" s="88"/>
      <c r="GX28" s="88"/>
      <c r="GY28" s="88"/>
      <c r="GZ28" s="88"/>
      <c r="HA28" s="88"/>
      <c r="HB28" s="88"/>
      <c r="HC28" s="88"/>
      <c r="HD28" s="88" t="str">
        <f>IF($F27="Hybrid - Thrust + 2 connections",COUNTBLANK(J27:L27),"")</f>
        <v/>
      </c>
      <c r="HE28" s="88"/>
      <c r="HF28" s="91"/>
      <c r="HG28" s="91"/>
      <c r="HH28" s="91"/>
      <c r="HI28" s="91"/>
    </row>
    <row r="29" spans="1:222" ht="12.75" customHeight="1" x14ac:dyDescent="0.35">
      <c r="A29" s="28" t="str">
        <f>IF(AND(E27="",A27&lt;&gt;""),IF(CP27=$CP$18,"",IF(C27&lt;&gt;"",IF(D27=59,MINUTE(CP27)+1,MINUTE(CP27)),"")),"")</f>
        <v/>
      </c>
      <c r="B29" s="29" t="str">
        <f>IF(AND(E27="",B27&lt;&gt;""),IF(CP27=$CP$18,"",IF(C27&lt;&gt;"",IF(D27=59,0,SECOND(CP27)+1),"")),"")</f>
        <v/>
      </c>
      <c r="C29" s="39"/>
      <c r="D29" s="39"/>
      <c r="E29" s="9"/>
      <c r="F29" s="40"/>
      <c r="G29" s="31" t="str">
        <f>IF(F29&lt;&gt;"",IF(OR(F29="Transition",F29="Transition - Surface Connection"),0,MAX($G$19:G28)+1),"")</f>
        <v/>
      </c>
      <c r="H29" s="43" t="str">
        <f>IFERROR(IF(E30="3","",IF(OR(F29="Hybrid - Choreography (DD = 1)",LEFT(F29,5)="Trans"),"No DD",CONCATENATE("BM = ",I30))),"")</f>
        <v/>
      </c>
      <c r="I29" s="44"/>
      <c r="J29" s="109"/>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58"/>
      <c r="AO29" s="32"/>
      <c r="AP29" s="61"/>
      <c r="AQ29" s="61"/>
      <c r="AR29" s="90"/>
      <c r="AS29" s="90"/>
      <c r="AT29" s="90"/>
      <c r="AU29" s="90"/>
      <c r="AV29" s="90"/>
      <c r="AW29" s="91" t="str">
        <f t="shared" ref="AW29" si="583">E30</f>
        <v/>
      </c>
      <c r="AX29" s="94" t="str">
        <f t="shared" ref="AX29" si="584">IF(AY29=0,"",TIME(0,A29,B29))</f>
        <v/>
      </c>
      <c r="AY29" s="94">
        <f t="shared" ref="AY29" si="585">TIME(0,C29,D29)</f>
        <v>0</v>
      </c>
      <c r="AZ29" s="94" t="str">
        <f t="shared" ref="AZ29" si="586">IFERROR(AY29-AX29,"")</f>
        <v/>
      </c>
      <c r="BA29" s="237" t="str">
        <f t="shared" ref="BA29" si="587">IF($AX$17=0,"",IF(AND($C$10&lt;&gt;"",AW29="H",AZ29&gt;$AX$17),"X",""))</f>
        <v/>
      </c>
      <c r="BB29" s="90"/>
      <c r="BC29" s="90"/>
      <c r="BD29" s="90"/>
      <c r="BE29" s="90"/>
      <c r="BF29" s="90"/>
      <c r="BG29" s="90" t="str">
        <f>IFERROR(IF(F29&lt;&gt;"",INDEX(Parts_Active,MATCH(F29,Parts_Active,0)),""),"No")</f>
        <v/>
      </c>
      <c r="BH29" s="90"/>
      <c r="BI29" s="90" t="str">
        <f>IF($E30="H",IF($F29="Hybrid - Thrust + 2 connections","Hybrid_Mix_Req",IF($F29="Hybrid - Choreography (DD = 1)","Hybrid_ChoHY","HybridDD_Code")),IF($E30=3,"TreDD_Code",IF($E30="PA","AcroPair_Code",IF(LEFT($F29,4)="Acro",CONCATENATE(BI$16,$E30,"_Code"),"Data!$BI$1:$BI$5"))))</f>
        <v>Data!$BI$1:$BI$5</v>
      </c>
      <c r="BJ29" s="90" t="str">
        <f t="shared" ref="BJ29" si="588">IF($E30="H",IF($F29="Hybrid - Thrust + 2 connections","Hybrid_Mix_Req",IF($F29="Hybrid - min 4 swimmers (no DD)","Data!$BI$1:$BI$5","HybridDD_Code")),IF($E30=3,"TreDD_Code",IF($E30="PA","AcroPair_Code",IF(LEFT($F29,4)="Acro",CONCATENATE(BJ$16,$E30,"_Code"),"Data!$BI$1:$BI$5"))))</f>
        <v>Data!$BI$1:$BI$5</v>
      </c>
      <c r="BK29" s="90" t="str">
        <f t="shared" si="6"/>
        <v>Data!$BI$1:$BI$5</v>
      </c>
      <c r="BL29" s="90" t="str">
        <f t="shared" si="6"/>
        <v>Data!$BI$1:$BI$5</v>
      </c>
      <c r="BM29" s="90" t="str">
        <f t="shared" si="6"/>
        <v>Data!$BI$1:$BI$5</v>
      </c>
      <c r="BN29" s="90" t="str">
        <f t="shared" si="6"/>
        <v>Data!$BI$1:$BI$5</v>
      </c>
      <c r="BO29" s="90" t="str">
        <f t="shared" si="6"/>
        <v>Data!$BI$1:$BI$5</v>
      </c>
      <c r="BP29" s="90" t="str">
        <f t="shared" si="6"/>
        <v>Data!$BI$1:$BI$5</v>
      </c>
      <c r="BQ29" s="90" t="str">
        <f t="shared" si="6"/>
        <v>Data!$BI$1:$BI$5</v>
      </c>
      <c r="BR29" s="90" t="str">
        <f t="shared" ref="BR29" si="589">IF($E30="H",IF($F29="Hybrid - Thrust + 2 connections","Data!$BI$1:$BI$5","HybridDD_Code"),"Data!$BI$1:$BI$5")</f>
        <v>Data!$BI$1:$BI$5</v>
      </c>
      <c r="BS29" s="90" t="str">
        <f t="shared" si="445"/>
        <v>Data!$BI$1:$BI$5</v>
      </c>
      <c r="BT29" s="90" t="str">
        <f t="shared" si="445"/>
        <v>Data!$BI$1:$BI$5</v>
      </c>
      <c r="BU29" s="90" t="str">
        <f t="shared" si="445"/>
        <v>Data!$BI$1:$BI$5</v>
      </c>
      <c r="BV29" s="90" t="str">
        <f t="shared" si="445"/>
        <v>Data!$BI$1:$BI$5</v>
      </c>
      <c r="BW29" s="90" t="str">
        <f t="shared" si="445"/>
        <v>Data!$BI$1:$BI$5</v>
      </c>
      <c r="BX29" s="90" t="str">
        <f t="shared" si="445"/>
        <v>Data!$BI$1:$BI$5</v>
      </c>
      <c r="BY29" s="90" t="str">
        <f t="shared" si="445"/>
        <v>Data!$BI$1:$BI$5</v>
      </c>
      <c r="BZ29" s="90" t="str">
        <f t="shared" si="445"/>
        <v>Data!$BI$1:$BI$5</v>
      </c>
      <c r="CA29" s="90" t="str">
        <f t="shared" si="445"/>
        <v>Data!$BI$1:$BI$5</v>
      </c>
      <c r="CB29" s="90" t="str">
        <f t="shared" si="445"/>
        <v>Data!$BI$1:$BI$5</v>
      </c>
      <c r="CC29" s="90" t="str">
        <f t="shared" si="445"/>
        <v>Data!$BI$1:$BI$5</v>
      </c>
      <c r="CD29" s="90" t="str">
        <f t="shared" si="445"/>
        <v>Data!$BI$1:$BI$5</v>
      </c>
      <c r="CE29" s="90" t="str">
        <f t="shared" si="445"/>
        <v>Data!$BI$1:$BI$5</v>
      </c>
      <c r="CF29" s="90" t="str">
        <f t="shared" si="445"/>
        <v>Data!$BI$1:$BI$5</v>
      </c>
      <c r="CG29" s="90" t="str">
        <f t="shared" si="445"/>
        <v>Data!$BI$1:$BI$5</v>
      </c>
      <c r="CH29" s="90" t="str">
        <f t="shared" si="445"/>
        <v>Data!$BI$1:$BI$5</v>
      </c>
      <c r="CI29" s="90" t="str">
        <f t="shared" si="8"/>
        <v>Data!$BI$1:$BI$5</v>
      </c>
      <c r="CJ29" s="90" t="str">
        <f t="shared" si="8"/>
        <v>Data!$BI$1:$BI$5</v>
      </c>
      <c r="CK29" s="90" t="str">
        <f t="shared" si="8"/>
        <v>Data!$BI$1:$BI$5</v>
      </c>
      <c r="CL29" s="90" t="str">
        <f t="shared" si="8"/>
        <v>Data!$BI$1:$BI$5</v>
      </c>
      <c r="CM29" s="90"/>
      <c r="CN29" s="90"/>
      <c r="CO29" s="93" t="str">
        <f>IFERROR(TIME(0,A29,B29),"")</f>
        <v/>
      </c>
      <c r="CP29" s="94">
        <f>IFERROR(TIME(0,C29,D29),"")</f>
        <v>0</v>
      </c>
      <c r="CQ29" s="94" t="str">
        <f t="shared" ref="CQ29" si="590">IF(CP29&gt;$D$12,"X","")</f>
        <v/>
      </c>
      <c r="CR29" s="88" t="str">
        <f>IF(AND(F29="Hybrid - Thrust + 2 connections",OR(LEFT(J29,1)="T",LEFT(K29,1)="T",LEFT(L29,1)="T",LEFT(PB29,1)="T",LEFT(M29,1)="T",LEFT(N29,1)="T",LEFT(O29,1)="T",LEFT(P29,1)="T",LEFT(Q29,1)="T",LEFT(R29,1)="T",LEFT(S29,1)="T",LEFT(T29,1)="T",LEFT(U29,1)="T",LEFT(V29,1)="T",LEFT(W29,1)="T",LEFT(X29,1)="T",LEFT(AK29,1)="T",LEFT(AL29,1)="T",LEFT(AM29,1)="T")),IF(OR(LEN(J29)=2,LEN(K29)=2,LEN(L29)=2,LEN(M29)=2,LEN(N29)=2,LEN(O29)=2,LEN(P29)=2,LEN(Q29)=2,LEN(R29)=2,LEN(S29)=2,LEN(T29)=2,LEN(U29)=2,LEN(V29)=2,LEN(W29)=2,LEN(X29)=2,LEN(Y29)=2,LEN(Z29)=2,LEN(AK29)=2,LEN(AL29)=2,LEN(AM29)=2),"X",""),"")</f>
        <v/>
      </c>
      <c r="CS29" s="91"/>
      <c r="CT29" s="88" t="str">
        <f>IF(LEFT(F29,4)="Acro",IF(AND(N29&lt;&gt;"",M29=RIGHT(N29,2)),"X","OK"),"")</f>
        <v/>
      </c>
      <c r="CU29" s="90" t="str">
        <f t="shared" ref="CU29:DB29" si="591">IFERROR(IF(AND(LEFT($F29,4)="Acro",INDEX(Requ_App,MATCH(BI29,Requ_Code,0))="No"),"X",""),"")</f>
        <v/>
      </c>
      <c r="CV29" s="90" t="str">
        <f t="shared" si="591"/>
        <v/>
      </c>
      <c r="CW29" s="90" t="str">
        <f t="shared" si="591"/>
        <v/>
      </c>
      <c r="CX29" s="90" t="str">
        <f t="shared" si="591"/>
        <v/>
      </c>
      <c r="CY29" s="90" t="str">
        <f t="shared" si="591"/>
        <v/>
      </c>
      <c r="CZ29" s="90" t="str">
        <f t="shared" si="591"/>
        <v/>
      </c>
      <c r="DA29" s="90" t="str">
        <f t="shared" si="591"/>
        <v/>
      </c>
      <c r="DB29" s="90" t="str">
        <f t="shared" si="591"/>
        <v/>
      </c>
      <c r="DC29" s="90" t="str">
        <f>IFERROR(IF(AND(LEFT($F29,4)="Acro",INDEX(Requ_App,MATCH(BP29,Requ_Code,0))="No"),"X",""),"")</f>
        <v/>
      </c>
      <c r="DD29" s="88" t="str">
        <f t="shared" si="10"/>
        <v/>
      </c>
      <c r="DE29" s="88" t="str">
        <f t="shared" si="11"/>
        <v/>
      </c>
      <c r="DF29" s="88" t="str">
        <f t="shared" si="12"/>
        <v/>
      </c>
      <c r="DG29" s="88" t="str">
        <f t="shared" si="13"/>
        <v/>
      </c>
      <c r="DK29" s="88">
        <f t="shared" ref="DK29" si="592">IF(AND(E30="A",OR(Q29="Grip",Q29="Conn",Q29="Catch")),"A1",IF(AND(E30="A",OR(Q29="Hula",Q29="RetSq",Q29="RetPa")),"A2",IF(AND(E30="B",OR(Q29="Twirl",Q29="RotF")),"B1",IF(AND(E30="B",OR(Q29="Moon",Q29="Mov",Q29="Hold")),"B2",IF(AND(E30="P",OR(Q29="Porp",Q29="Splch")),"P1",IF(AND(E30="P",OR(Q29="Diva",Q29="Stand")),"P2",IF(AND(E30="P",OR(Q29="Spider",Q29="Climb")),"P3",IF(AND(E30="P",OR(Q29="Fall",Q29="FTurn")),"P4",IF(AND(E30="C",OR(Q29="Jump",Q29="Jump&gt;",Q29="On1Foot",Q29="1F&gt;1F")),"C1",IF(AND(E30="C",OR(Q29="Run",Q29="BRun")),"C2",1))))))))))</f>
        <v>1</v>
      </c>
      <c r="DL29" s="88">
        <f t="shared" ref="DL29" si="593">IF(AND(E30="A",OR(R29="Grip",R29="Conn",R29="Catch")),"A1",IF(AND(E30="A",OR(R29="Hula",R29="RetSq",R29="RetPa")),"A2",IF(AND(E30="B",OR(R29="Twirl",R29="RotF")),"B1",IF(AND(E30="B",OR(R29="Moon",R29="Mov",R29="Hold")),"B2",IF(AND(E30="P",OR(R29="Porp",R29="Spich")),"P1",IF(AND(E30="P",OR(R29="Diva",R29="Stand")),"P2",IF(AND(E30="P",OR(R29="Spider",R29="Climb")),"P3",IF(AND(E30="P",OR(R29="Fall",R29="FTurn")),"P4",IF(AND(E30="C",OR(R29="Jump",R29="Jump&gt;",R29="On1Foot",R29="1F&gt;1F")),"C1",IF(AND(E30="C",OR(R29="Run",R29="BRun")),"C2",2))))))))))</f>
        <v>2</v>
      </c>
      <c r="DM29" s="88" t="str">
        <f t="shared" ref="DM29" si="594">IF(AND(N29="",OR(Q29&lt;&gt;"",R29&lt;&gt;"")),"X",IF(AND(LEFT(F29,4)="Acro",Q29&lt;&gt;"",OR(Q29=R29,DK29=DL29)),IF(R29="C-Roll","","X"),IF(OR(AND(E30="A",Q29="Catch",R29&lt;&gt;"Dbl"),AND(E30="A",R29="Catch",Q29&lt;&gt;"Dbl")),"X","")))</f>
        <v/>
      </c>
      <c r="DN29" s="88" t="str">
        <f>IF(E30="PA",J29,"")</f>
        <v/>
      </c>
      <c r="DO29" s="88">
        <v>11</v>
      </c>
      <c r="DQ29" s="88" t="str">
        <f>IF(AND($E30="A",COUNTIF($DZ$19:$EA$68,DZ29)&gt;1),DZ29,"")</f>
        <v/>
      </c>
      <c r="DR29" s="88" t="str">
        <f>IF(AND($E30="A",COUNTIF($DZ$19:$EA$68,EA29)&gt;1),EA29,"")</f>
        <v/>
      </c>
      <c r="DS29" s="88" t="str">
        <f ca="1">IF(AND($E30="B",COUNTIF($J$19:$J$68,J29)&gt;1),J29,"")</f>
        <v/>
      </c>
      <c r="DT29" s="88" t="str">
        <f ca="1">IF(AND($E30="B",COUNTIF($K$19:$K$68,K29)&gt;1),K29,"")</f>
        <v/>
      </c>
      <c r="DU29" s="88" t="str">
        <f ca="1">IF(AND($E30="C",COUNTIF($J$19:$J$68,J29)&gt;1),J29,"")</f>
        <v/>
      </c>
      <c r="DV29" s="88" t="str">
        <f ca="1">IF(AND($E30="P",COUNTIF($J$19:$J$68,J29)&gt;1),J29,"")</f>
        <v/>
      </c>
      <c r="DW29" s="88" t="str">
        <f ca="1">IF(AND($E30="P",COUNTIF($K$19:$K$68,K29)&gt;1),K29,"")</f>
        <v/>
      </c>
      <c r="DX29" s="88" t="str">
        <f>IF(AND($E30="P",COUNTIF($DZ$19:$EA$68,DZ29)&gt;1),DZ29,"")</f>
        <v/>
      </c>
      <c r="DY29" s="88" t="str">
        <f>IF(AND($E30="P",COUNTIF($DZ$19:$EA$68,EA29)&gt;1),EA29,"")</f>
        <v/>
      </c>
      <c r="DZ29" s="88" t="str">
        <f>IFERROR(IF(OR(E30="A",E30="P"),M29,""),"")</f>
        <v/>
      </c>
      <c r="EA29" s="88" t="str">
        <f>IFERROR(IF(OR(E30="A",E30="P"),RIGHT(N29,2),""),"")</f>
        <v/>
      </c>
      <c r="EB29" s="88" t="str">
        <f t="shared" ref="EB29" si="595">IF(Q29="","",IF(AND($E30="P",COUNTIF($Q$19:$R$68,Q29)&gt;1),Q29,""))</f>
        <v/>
      </c>
      <c r="EC29" s="88" t="str">
        <f t="shared" ref="EC29" si="596">IF(R29="","",IF(AND($E30="P",COUNTIF($Q$19:$R$68,R29)&gt;1),R29,""))</f>
        <v/>
      </c>
      <c r="ED29" s="88" t="str">
        <f t="shared" si="14"/>
        <v/>
      </c>
      <c r="EE29" s="88" t="str">
        <f t="shared" si="15"/>
        <v/>
      </c>
      <c r="EF29" s="88" t="str">
        <f t="shared" ref="EF29" si="597">IF(AND(OR($F$8="Open Team Acrobatic",$F$8="Open Team Technical"),LEFT(F29,4)="Acro"),E30,"")</f>
        <v/>
      </c>
      <c r="EG29" s="88" t="str">
        <f t="shared" ref="EG29" si="598">IF(EF29="","",IFERROR(IF($F$8="Open Team Acrobatic",IF(HLOOKUP(EF29,$DQ$12:$DT$13,2,FALSE)&gt;2,"X",""),IF(HLOOKUP(EF29,$DQ$12:$DT$13,2,FALSE)&gt;1,"X","")),""))</f>
        <v/>
      </c>
      <c r="EI29" s="88" t="str">
        <f t="shared" ref="EI29" si="599">IF(OR(AND(F29="Hybrid - Thrust + 2 connections",EI30="T"),AND(E30="H",EI30&lt;&gt;"",EI83="X")),"X","")</f>
        <v/>
      </c>
      <c r="EK29" s="88">
        <f t="shared" ref="EK29" si="600">IFERROR(IF(AND($E30="H",J29&lt;&gt;"",J29&lt;&gt;"ChoHY"),IF(OR(LEFT(J29,1)="T",LEFT(J29,1)="S",LEFT(J29,1)="A",LEFT(J29,1)="F",LEFT(J29,1)="C"),LEFT(J29,1),"R"),EK$18),"")</f>
        <v>1</v>
      </c>
      <c r="EL29" s="88">
        <f t="shared" ref="EL29" si="601">IFERROR(IF(AND($E30="H",K29&lt;&gt;""),IF(OR(LEFT(K29,1)="T",LEFT(K29,1)="S",LEFT(K29,1)="A",LEFT(K29,1)="F",LEFT(K29,1)="C"),LEFT(K29,1),"R"),EL$18),"")</f>
        <v>2</v>
      </c>
      <c r="EM29" s="88">
        <f t="shared" ref="EM29" si="602">IFERROR(IF(AND($E30="H",L29&lt;&gt;""),IF(OR(LEFT(L29,1)="T",LEFT(L29,1)="S",LEFT(L29,1)="A",LEFT(L29,1)="F",LEFT(L29,1)="C"),LEFT(L29,1),"R"),EM$18),"")</f>
        <v>3</v>
      </c>
      <c r="EN29" s="88">
        <f t="shared" ref="EN29" si="603">IFERROR(IF(AND($E30="H",M29&lt;&gt;""),IF(OR(LEFT(M29,1)="T",LEFT(M29,1)="S",LEFT(M29,1)="A",LEFT(M29,1)="F",LEFT(M29,1)="C"),LEFT(M29,1),"R"),EN$18),"")</f>
        <v>4</v>
      </c>
      <c r="EO29" s="88">
        <f t="shared" ref="EO29" si="604">IFERROR(IF(AND($E30="H",N29&lt;&gt;""),IF(OR(LEFT(N29,1)="T",LEFT(N29,1)="S",LEFT(N29,1)="A",LEFT(N29,1)="F",LEFT(N29,1)="C"),LEFT(N29,1),"R"),EO$18),"")</f>
        <v>5</v>
      </c>
      <c r="EP29" s="88">
        <f t="shared" ref="EP29" si="605">IFERROR(IF(AND($E30="H",O29&lt;&gt;""),IF(OR(LEFT(O29,1)="T",LEFT(O29,1)="S",LEFT(O29,1)="A",LEFT(O29,1)="F",LEFT(O29,1)="C"),LEFT(O29,1),"R"),EP$18),"")</f>
        <v>6</v>
      </c>
      <c r="EQ29" s="88">
        <f t="shared" ref="EQ29" si="606">IFERROR(IF(AND($E30="H",P29&lt;&gt;""),IF(OR(LEFT(P29,1)="T",LEFT(P29,1)="S",LEFT(P29,1)="A",LEFT(P29,1)="F",LEFT(P29,1)="C"),LEFT(P29,1),"R"),EQ$18),"")</f>
        <v>7</v>
      </c>
      <c r="ER29" s="88">
        <f t="shared" ref="ER29" si="607">IFERROR(IF(AND($E30="H",Q29&lt;&gt;""),IF(OR(LEFT(Q29,1)="T",LEFT(Q29,1)="S",LEFT(Q29,1)="A",LEFT(Q29,1)="F",LEFT(Q29,1)="C"),LEFT(Q29,1),"R"),ER$18),"")</f>
        <v>8</v>
      </c>
      <c r="ES29" s="88">
        <f t="shared" ref="ES29" si="608">IFERROR(IF(AND($E30="H",R29&lt;&gt;""),IF(OR(LEFT(R29,1)="T",LEFT(R29,1)="S",LEFT(R29,1)="A",LEFT(R29,1)="F",LEFT(R29,1)="C"),LEFT(R29,1),"R"),ES$18),"")</f>
        <v>9</v>
      </c>
      <c r="ET29" s="88">
        <f t="shared" ref="ET29" si="609">IFERROR(IF(AND($E30="H",S29&lt;&gt;""),IF(OR(LEFT(S29,1)="T",LEFT(S29,1)="S",LEFT(S29,1)="A",LEFT(S29,1)="F",LEFT(S29,1)="C"),LEFT(S29,1),"R"),ET$18),"")</f>
        <v>10</v>
      </c>
      <c r="EU29" s="88">
        <f t="shared" ref="EU29" si="610">IFERROR(IF(AND($E30="H",T29&lt;&gt;""),IF(OR(LEFT(T29,1)="T",LEFT(T29,1)="S",LEFT(T29,1)="A",LEFT(T29,1)="F",LEFT(T29,1)="C"),LEFT(T29,1),"R"),EU$18),"")</f>
        <v>11</v>
      </c>
      <c r="EV29" s="88">
        <f t="shared" ref="EV29" si="611">IFERROR(IF(AND($E30="H",U29&lt;&gt;""),IF(OR(LEFT(U29,1)="T",LEFT(U29,1)="S",LEFT(U29,1)="A",LEFT(U29,1)="F",LEFT(U29,1)="C"),LEFT(U29,1),"R"),EV$18),"")</f>
        <v>12</v>
      </c>
      <c r="EW29" s="88">
        <f t="shared" ref="EW29" si="612">IFERROR(IF(AND($E30="H",V29&lt;&gt;""),IF(OR(LEFT(V29,1)="T",LEFT(V29,1)="S",LEFT(V29,1)="A",LEFT(V29,1)="F",LEFT(V29,1)="C"),LEFT(V29,1),"R"),EW$18),"")</f>
        <v>13</v>
      </c>
      <c r="EX29" s="88">
        <f t="shared" ref="EX29" si="613">IFERROR(IF(AND($E30="H",W29&lt;&gt;""),IF(OR(LEFT(W29,1)="T",LEFT(W29,1)="S",LEFT(W29,1)="A",LEFT(W29,1)="F",LEFT(W29,1)="C"),LEFT(W29,1),"R"),EX$18),"")</f>
        <v>14</v>
      </c>
      <c r="EY29" s="88">
        <f t="shared" ref="EY29" si="614">IFERROR(IF(AND($E30="H",X29&lt;&gt;""),IF(OR(LEFT(X29,1)="T",LEFT(X29,1)="S",LEFT(X29,1)="A",LEFT(X29,1)="F",LEFT(X29,1)="C"),LEFT(X29,1),"R"),EY$18),"")</f>
        <v>15</v>
      </c>
      <c r="EZ29" s="88">
        <f t="shared" ref="EZ29" si="615">IFERROR(IF(AND($E30="H",Y29&lt;&gt;""),IF(OR(LEFT(Y29,1)="T",LEFT(Y29,1)="S",LEFT(Y29,1)="A",LEFT(Y29,1)="F",LEFT(Y29,1)="C"),LEFT(Y29,1),"R"),EZ$18),"")</f>
        <v>16</v>
      </c>
      <c r="FA29" s="88">
        <f t="shared" ref="FA29" si="616">IFERROR(IF(AND($E30="H",Z29&lt;&gt;""),IF(OR(LEFT(Z29,1)="T",LEFT(Z29,1)="S",LEFT(Z29,1)="A",LEFT(Z29,1)="F",LEFT(Z29,1)="C"),LEFT(Z29,1),"R"),FA$18),"")</f>
        <v>17</v>
      </c>
      <c r="FB29" s="88">
        <f t="shared" ref="FB29" si="617">IFERROR(IF(AND($E30="H",AA29&lt;&gt;""),IF(OR(LEFT(AA29,1)="T",LEFT(AA29,1)="S",LEFT(AA29,1)="A",LEFT(AA29,1)="F",LEFT(AA29,1)="C"),LEFT(AA29,1),"R"),FB$18),"")</f>
        <v>18</v>
      </c>
      <c r="FC29" s="88">
        <f t="shared" ref="FC29" si="618">IFERROR(IF(AND($E30="H",AB29&lt;&gt;""),IF(OR(LEFT(AB29,1)="T",LEFT(AB29,1)="S",LEFT(AB29,1)="A",LEFT(AB29,1)="F",LEFT(AB29,1)="C"),LEFT(AB29,1),"R"),FC$18),"")</f>
        <v>19</v>
      </c>
      <c r="FD29" s="88">
        <f t="shared" ref="FD29" si="619">IFERROR(IF(AND($E30="H",AC29&lt;&gt;""),IF(OR(LEFT(AC29,1)="T",LEFT(AC29,1)="S",LEFT(AC29,1)="A",LEFT(AC29,1)="F",LEFT(AC29,1)="C"),LEFT(AC29,1),"R"),FD$18),"")</f>
        <v>20</v>
      </c>
      <c r="FE29" s="88">
        <f t="shared" ref="FE29" si="620">IFERROR(IF(AND($E30="H",AD29&lt;&gt;""),IF(OR(LEFT(AD29,1)="T",LEFT(AD29,1)="S",LEFT(AD29,1)="A",LEFT(AD29,1)="F",LEFT(AD29,1)="C"),LEFT(AD29,1),"R"),FE$18),"")</f>
        <v>21</v>
      </c>
      <c r="FF29" s="88">
        <f t="shared" ref="FF29" si="621">IFERROR(IF(AND($E30="H",AE29&lt;&gt;""),IF(OR(LEFT(AE29,1)="T",LEFT(AE29,1)="S",LEFT(AE29,1)="A",LEFT(AE29,1)="F",LEFT(AE29,1)="C"),LEFT(AE29,1),"R"),FF$18),"")</f>
        <v>22</v>
      </c>
      <c r="FG29" s="88">
        <f t="shared" ref="FG29" si="622">IFERROR(IF(AND($E30="H",AF29&lt;&gt;""),IF(OR(LEFT(AF29,1)="T",LEFT(AF29,1)="S",LEFT(AF29,1)="A",LEFT(AF29,1)="F",LEFT(AF29,1)="C"),LEFT(AF29,1),"R"),FG$18),"")</f>
        <v>23</v>
      </c>
      <c r="FH29" s="88">
        <f t="shared" ref="FH29" si="623">IFERROR(IF(AND($E30="H",AG29&lt;&gt;""),IF(OR(LEFT(AG29,1)="T",LEFT(AG29,1)="S",LEFT(AG29,1)="A",LEFT(AG29,1)="F",LEFT(AG29,1)="C"),LEFT(AG29,1),"R"),FH$18),"")</f>
        <v>24</v>
      </c>
      <c r="FI29" s="88">
        <f t="shared" ref="FI29" si="624">IFERROR(IF(AND($E30="H",AH29&lt;&gt;""),IF(OR(LEFT(AH29,1)="T",LEFT(AH29,1)="S",LEFT(AH29,1)="A",LEFT(AH29,1)="F",LEFT(AH29,1)="C"),LEFT(AH29,1),"R"),FI$18),"")</f>
        <v>25</v>
      </c>
      <c r="FJ29" s="88">
        <f t="shared" ref="FJ29" si="625">IFERROR(IF(AND($E30="H",AI29&lt;&gt;""),IF(OR(LEFT(AI29,1)="T",LEFT(AI29,1)="S",LEFT(AI29,1)="A",LEFT(AI29,1)="F",LEFT(AI29,1)="C"),LEFT(AI29,1),"R"),FJ$18),"")</f>
        <v>26</v>
      </c>
      <c r="FK29" s="88">
        <f t="shared" ref="FK29" si="626">IFERROR(IF(AND($E30="H",AJ29&lt;&gt;""),IF(OR(LEFT(AJ29,1)="T",LEFT(AJ29,1)="S",LEFT(AJ29,1)="A",LEFT(AJ29,1)="F",LEFT(AJ29,1)="C"),LEFT(AJ29,1),"R"),FK$18),"")</f>
        <v>27</v>
      </c>
      <c r="FL29" s="88">
        <f t="shared" ref="FL29" si="627">IFERROR(IF(AND($E30="H",AK29&lt;&gt;""),IF(OR(LEFT(AK29,1)="T",LEFT(AK29,1)="S",LEFT(AK29,1)="A",LEFT(AK29,1)="F",LEFT(AK29,1)="C"),LEFT(AK29,1),"R"),FL$18),"")</f>
        <v>28</v>
      </c>
      <c r="FM29" s="88">
        <f t="shared" ref="FM29" si="628">IFERROR(IF(AND($E30="H",AL29&lt;&gt;""),IF(OR(LEFT(AL29,1)="T",LEFT(AL29,1)="S",LEFT(AL29,1)="A",LEFT(AL29,1)="F",LEFT(AL29,1)="C"),LEFT(AL29,1),"R"),FM$18),"")</f>
        <v>29</v>
      </c>
      <c r="FN29" s="88">
        <f t="shared" ref="FN29" si="629">IFERROR(IF(AND($E30="H",AM29&lt;&gt;""),IF(OR(LEFT(AM29,1)="T",LEFT(AM29,1)="S",LEFT(AM29,1)="A",LEFT(AM29,1)="F",LEFT(AM29,1)="C"),LEFT(AM29,1),"R"),FN$18),"")</f>
        <v>30</v>
      </c>
      <c r="FO29" s="88"/>
      <c r="FP29" s="88"/>
      <c r="FQ29" s="88"/>
      <c r="FR29" s="285"/>
      <c r="FS29" s="285"/>
      <c r="FT29" s="285"/>
      <c r="FU29" s="285"/>
      <c r="FV29" s="285"/>
      <c r="FW29" s="285"/>
      <c r="FX29" s="285"/>
      <c r="FY29" s="285"/>
      <c r="FZ29" s="285"/>
      <c r="GA29" s="285"/>
      <c r="GB29" s="285"/>
      <c r="GC29" s="285"/>
      <c r="GD29" s="285"/>
      <c r="GE29" s="285"/>
      <c r="GF29" s="285"/>
      <c r="GG29" s="285"/>
      <c r="GH29" s="285"/>
      <c r="GI29" s="285"/>
      <c r="GJ29" s="285"/>
      <c r="GK29" s="285"/>
      <c r="GL29" s="285"/>
      <c r="GM29" s="285"/>
      <c r="GN29" s="285"/>
      <c r="GO29" s="285"/>
      <c r="GP29" s="285"/>
      <c r="GQ29" s="285"/>
      <c r="GR29" s="285"/>
      <c r="GS29" s="285"/>
      <c r="GT29" s="285"/>
      <c r="GU29" s="285"/>
      <c r="GV29" s="88"/>
      <c r="GW29" s="88">
        <f t="shared" ref="GW29" si="630">COUNTIF($EK29:$FN29,GW$18)</f>
        <v>0</v>
      </c>
      <c r="GX29" s="88">
        <f t="shared" si="29"/>
        <v>0</v>
      </c>
      <c r="GY29" s="88">
        <f t="shared" si="29"/>
        <v>0</v>
      </c>
      <c r="GZ29" s="88">
        <f t="shared" si="29"/>
        <v>0</v>
      </c>
      <c r="HA29" s="88">
        <f t="shared" si="29"/>
        <v>0</v>
      </c>
      <c r="HB29" s="88">
        <f t="shared" si="29"/>
        <v>0</v>
      </c>
      <c r="HC29" s="88"/>
      <c r="HD29" s="88" t="str">
        <f t="shared" ref="HD29" si="631">IF(AND($F29="Hybrid - Thrust + 2 connections",HD30=0,LEFT($J29,1)="C",LEFT($K29,1)="C",LEFT($L29,1)="C"),"X","")</f>
        <v/>
      </c>
      <c r="HE29" s="88"/>
      <c r="HF29" s="91"/>
      <c r="HG29" s="100"/>
      <c r="HH29" s="100"/>
      <c r="HI29" s="91" t="str">
        <f t="shared" ref="HI29" si="632">IF(E30=3,IF(_xlfn.NUMBERVALUE(LEFT(J29,1))&gt;0,_xlfn.NUMBERVALUE(LEFT(J29,1)),""),"")</f>
        <v/>
      </c>
      <c r="HK29" s="91" t="str">
        <f t="shared" ref="HK29" si="633">IF(OR(E30="B",E30="P"),E30,"")</f>
        <v/>
      </c>
      <c r="HL29" s="91" t="str">
        <f>IF(AND(J29&lt;&gt;"",HK29&lt;&gt;""),IF(HK29="B",MATCH(J29,AcroDD!$U$3:$AE$3,0),MATCH(J29,AcroDD!$U$30:$AC$30,0)),"")</f>
        <v/>
      </c>
      <c r="HM29" s="91" t="str">
        <f t="shared" ref="HM29" si="634">IF(AND(K29&lt;&gt;"",HK29&lt;&gt;""),K29,"")</f>
        <v/>
      </c>
      <c r="HN29" s="91" t="str">
        <f>_xlfn.LET(_xlpm.lista,IF(HK29="B",INDEX(AcroDD!$T$4:$AE$23,0,HL29+1),INDEX(AcroDD!$T$31:$AC$50,0,HL29+1)),IF(AND(OR(HK29="B",HK29="P"),HL29&lt;&gt;"",HM29&lt;&gt;""),IF(ISNUMBER(MATCH(HM29,_xlpm.lista,0)),"OK","X"),""))</f>
        <v/>
      </c>
    </row>
    <row r="30" spans="1:222" ht="12.75" customHeight="1" x14ac:dyDescent="0.35">
      <c r="A30" s="28"/>
      <c r="B30" s="29"/>
      <c r="C30" s="29"/>
      <c r="D30" s="29"/>
      <c r="E30" s="17" t="str">
        <f>IF(F29="Acrobatic - Pair","PA",IF(F29="Acrobatic Airborn","A",IF(F29="Acrobatic Balance","B",IF(F29="Acrobatic Combined","C",IF(F29="Acrobatic Platform","P",IF(F29="Technical Required Element",3,IF(LEFT(F29,4)="Hybr","H","")))))))</f>
        <v/>
      </c>
      <c r="F30" s="17" t="str">
        <f>IF(AND(F29="Hybrid - Thrust + 2 connections",CR29="X"),"Hybrid - Thrust",IF(OR(E30="A",E30="B",E30="C",E30="P"),"Acrobatic",""))</f>
        <v/>
      </c>
      <c r="G30" s="31"/>
      <c r="H30" s="182" t="str">
        <f t="shared" ref="H30" si="635">IF(E30="PA",IF(OR(LEFT(J29,1)="L",LEFT(J29,1)="S"),"A-Pair-Lift",IF(OR(LEFT(J29,1)="W",LEFT(J29,1)="T"),"A-Pair-Throw",IF(LEFT(J29,1)="J","A-Pair-Jump","A-Pair"))),IF(OR(E30="A",E30="B",E30="C",E30="P"),CONCATENATE("Acro-",E30),""))</f>
        <v/>
      </c>
      <c r="I30" s="176" t="e">
        <f>IF(OR(F29="Hybrid - Choreography (DD = 1)",LEFT(F29,5)="Trans"),0,INDEX($BY$3:$BY$9,MATCH(E30,$BX$3:$BX$9,0)))</f>
        <v>#N/A</v>
      </c>
      <c r="J30" s="171">
        <f ca="1">IFERROR(IF($H29="No DD",IF(J29="ChoHY",1,0),IF(OR(ISBLANK(J29),J29="N/A"),0,INDEX(INDIRECT(BI30),MATCH(J29,INDIRECT(BI29),0)))),0)</f>
        <v>0</v>
      </c>
      <c r="K30" s="171">
        <f t="shared" ref="K30:Y30" ca="1" si="636">IFERROR(IF($H29="No DD",0,IF(OR(ISBLANK(K29),K29="N/A"),0,INDEX(INDIRECT(BJ30),MATCH(K29,INDIRECT(BJ29),0)))),0)</f>
        <v>0</v>
      </c>
      <c r="L30" s="171">
        <f t="shared" ca="1" si="636"/>
        <v>0</v>
      </c>
      <c r="M30" s="171">
        <f t="shared" ca="1" si="636"/>
        <v>0</v>
      </c>
      <c r="N30" s="171">
        <f t="shared" ca="1" si="636"/>
        <v>0</v>
      </c>
      <c r="O30" s="171">
        <f t="shared" ca="1" si="636"/>
        <v>0</v>
      </c>
      <c r="P30" s="171">
        <f t="shared" ca="1" si="636"/>
        <v>0</v>
      </c>
      <c r="Q30" s="171">
        <f t="shared" ca="1" si="636"/>
        <v>0</v>
      </c>
      <c r="R30" s="171">
        <f t="shared" ca="1" si="636"/>
        <v>0</v>
      </c>
      <c r="S30" s="171">
        <f t="shared" ca="1" si="636"/>
        <v>0</v>
      </c>
      <c r="T30" s="171">
        <f t="shared" ca="1" si="636"/>
        <v>0</v>
      </c>
      <c r="U30" s="171">
        <f t="shared" ca="1" si="636"/>
        <v>0</v>
      </c>
      <c r="V30" s="171">
        <f t="shared" ca="1" si="636"/>
        <v>0</v>
      </c>
      <c r="W30" s="171">
        <f t="shared" ca="1" si="636"/>
        <v>0</v>
      </c>
      <c r="X30" s="171">
        <f t="shared" ca="1" si="636"/>
        <v>0</v>
      </c>
      <c r="Y30" s="171">
        <f t="shared" ca="1" si="636"/>
        <v>0</v>
      </c>
      <c r="Z30" s="171">
        <f t="shared" ref="Z30" ca="1" si="637">IFERROR(IF($H29="No DD",0,IF(OR(ISBLANK(Z29),Z29="N/A"),0,INDEX(INDIRECT(BY30),MATCH(Z29,INDIRECT(BY29),0)))),0)</f>
        <v>0</v>
      </c>
      <c r="AA30" s="171">
        <f t="shared" ref="AA30" ca="1" si="638">IFERROR(IF($H29="No DD",0,IF(OR(ISBLANK(AA29),AA29="N/A"),0,INDEX(INDIRECT(BZ30),MATCH(AA29,INDIRECT(BZ29),0)))),0)</f>
        <v>0</v>
      </c>
      <c r="AB30" s="171">
        <f t="shared" ref="AB30" ca="1" si="639">IFERROR(IF($H29="No DD",0,IF(OR(ISBLANK(AB29),AB29="N/A"),0,INDEX(INDIRECT(CA30),MATCH(AB29,INDIRECT(CA29),0)))),0)</f>
        <v>0</v>
      </c>
      <c r="AC30" s="171">
        <f t="shared" ref="AC30" ca="1" si="640">IFERROR(IF($H29="No DD",0,IF(OR(ISBLANK(AC29),AC29="N/A"),0,INDEX(INDIRECT(CB30),MATCH(AC29,INDIRECT(CB29),0)))),0)</f>
        <v>0</v>
      </c>
      <c r="AD30" s="171">
        <f t="shared" ref="AD30" ca="1" si="641">IFERROR(IF($H29="No DD",0,IF(OR(ISBLANK(AD29),AD29="N/A"),0,INDEX(INDIRECT(CC30),MATCH(AD29,INDIRECT(CC29),0)))),0)</f>
        <v>0</v>
      </c>
      <c r="AE30" s="171">
        <f t="shared" ref="AE30" ca="1" si="642">IFERROR(IF($H29="No DD",0,IF(OR(ISBLANK(AE29),AE29="N/A"),0,INDEX(INDIRECT(CD30),MATCH(AE29,INDIRECT(CD29),0)))),0)</f>
        <v>0</v>
      </c>
      <c r="AF30" s="171">
        <f t="shared" ref="AF30" ca="1" si="643">IFERROR(IF($H29="No DD",0,IF(OR(ISBLANK(AF29),AF29="N/A"),0,INDEX(INDIRECT(CE30),MATCH(AF29,INDIRECT(CE29),0)))),0)</f>
        <v>0</v>
      </c>
      <c r="AG30" s="171">
        <f t="shared" ref="AG30" ca="1" si="644">IFERROR(IF($H29="No DD",0,IF(OR(ISBLANK(AG29),AG29="N/A"),0,INDEX(INDIRECT(CF30),MATCH(AG29,INDIRECT(CF29),0)))),0)</f>
        <v>0</v>
      </c>
      <c r="AH30" s="171">
        <f t="shared" ref="AH30" ca="1" si="645">IFERROR(IF($H29="No DD",0,IF(OR(ISBLANK(AH29),AH29="N/A"),0,INDEX(INDIRECT(CG30),MATCH(AH29,INDIRECT(CG29),0)))),0)</f>
        <v>0</v>
      </c>
      <c r="AI30" s="171">
        <f t="shared" ref="AI30" ca="1" si="646">IFERROR(IF($H29="No DD",0,IF(OR(ISBLANK(AI29),AI29="N/A"),0,INDEX(INDIRECT(CH30),MATCH(AI29,INDIRECT(CH29),0)))),0)</f>
        <v>0</v>
      </c>
      <c r="AJ30" s="171">
        <f t="shared" ref="AJ30" ca="1" si="647">IFERROR(IF($H29="No DD",0,IF(OR(ISBLANK(AJ29),AJ29="N/A"),0,INDEX(INDIRECT(CI30),MATCH(AJ29,INDIRECT(CI29),0)))),0)</f>
        <v>0</v>
      </c>
      <c r="AK30" s="171">
        <f t="shared" ref="AK30" ca="1" si="648">IFERROR(IF($H29="No DD",0,IF(OR(ISBLANK(AK29),AK29="N/A"),0,INDEX(INDIRECT(CJ30),MATCH(AK29,INDIRECT(CJ29),0)))),0)</f>
        <v>0</v>
      </c>
      <c r="AL30" s="171">
        <f t="shared" ref="AL30" ca="1" si="649">IFERROR(IF($H29="No DD",0,IF(OR(ISBLANK(AL29),AL29="N/A"),0,INDEX(INDIRECT(CK30),MATCH(AL29,INDIRECT(CK29),0)))),0)</f>
        <v>0</v>
      </c>
      <c r="AM30" s="171">
        <f t="shared" ref="AM30" ca="1" si="650">IFERROR(IF($H29="No DD",0,IF(OR(ISBLANK(AM29),AM29="N/A"),0,INDEX(INDIRECT(CL30),MATCH(AM29,INDIRECT(CL29),0)))),0)</f>
        <v>0</v>
      </c>
      <c r="AN30" s="172" t="str">
        <f>IFERROR(IF(E30="H",INDEX(HybridBonus_Value,MATCH(AN29,HybridBonus_Code,0)),""),"")</f>
        <v/>
      </c>
      <c r="AO30" s="276" t="str">
        <f t="shared" ref="AO30" si="651">IFERROR(SUM(I30:AN30),"")</f>
        <v/>
      </c>
      <c r="AP30" s="62"/>
      <c r="AQ30" s="62"/>
      <c r="AR30" s="101"/>
      <c r="AS30" s="101"/>
      <c r="AT30" s="101"/>
      <c r="AU30" s="101"/>
      <c r="AV30" s="101"/>
      <c r="BA30" s="90"/>
      <c r="BB30" s="101"/>
      <c r="BC30" s="101"/>
      <c r="BD30" s="101"/>
      <c r="BE30" s="101"/>
      <c r="BF30" s="101"/>
      <c r="BG30" s="90"/>
      <c r="BH30" s="101"/>
      <c r="BI30" s="91" t="str">
        <f t="shared" ref="BI30" si="652">IF($E30="H",IF($F29="Hybrid - Thrust + 2 connections","Hybrid_Mix_Req_Value","HybridDD_Value"),IF($E30=3,"TreDD_Value",IF($E30="PA","AcroPair_Value",IF(LEFT($F29,4)="Acro",CONCATENATE(BI$16,$E30,"_Value"),""))))</f>
        <v/>
      </c>
      <c r="BJ30" s="91" t="str">
        <f t="shared" ref="BJ30" si="653">IF($E30="H",IF($F29="Hybrid - Thrust + 2 connections","Hybrid_Mix_Req_Value","HybridDD_Value"),IF($E30=3,"TreDD_Value",IF($E30="PA","AcroPair_Value",IF(LEFT($F29,4)="Acro",CONCATENATE(BJ$16,$E30,"_Value"),""))))</f>
        <v/>
      </c>
      <c r="BK30" s="91" t="str">
        <f t="shared" ref="BK30" si="654">IF($E30="H",IF($F29="Hybrid - Thrust + 2 connections","Hybrid_Mix_Req_Value","HybridDD_Value"),IF($E30=3,"TreDD_Value",IF($E30="PA","AcroPair_Value",IF(LEFT($F29,4)="Acro",CONCATENATE(BK$16,$E30,"_Value"),""))))</f>
        <v/>
      </c>
      <c r="BL30" s="91" t="str">
        <f t="shared" ref="BL30" si="655">IF($E30="H",IF($F29="Hybrid - Thrust + 2 connections","Hybrid_Mix_Req_Value","HybridDD_Value"),IF($E30=3,"TreDD_Value",IF($E30="PA","AcroPair_Value",IF(LEFT($F29,4)="Acro",CONCATENATE(BL$16,$E30,"_Value"),""))))</f>
        <v/>
      </c>
      <c r="BM30" s="91" t="str">
        <f t="shared" ref="BM30" si="656">IF($E30="H",IF($F29="Hybrid - Thrust + 2 connections","Hybrid_Mix_Req_Value","HybridDD_Value"),IF($E30=3,"TreDD_Value",IF($E30="PA","AcroPair_Value",IF(LEFT($F29,4)="Acro",CONCATENATE(BM$16,$E30,"_Value"),""))))</f>
        <v/>
      </c>
      <c r="BN30" s="91" t="str">
        <f t="shared" ref="BN30" si="657">IF($E30="H",IF($F29="Hybrid - Thrust + 2 connections","Hybrid_Mix_Req_Value","HybridDD_Value"),IF($E30=3,"TreDD_Value",IF($E30="PA","AcroPair_Value",IF(LEFT($F29,4)="Acro",CONCATENATE(BN$16,$E30,"_Value"),""))))</f>
        <v/>
      </c>
      <c r="BO30" s="91" t="str">
        <f t="shared" ref="BO30" si="658">IF($E30="H",IF($F29="Hybrid - Thrust + 2 connections","Hybrid_Mix_Req_Value","HybridDD_Value"),IF($E30=3,"TreDD_Value",IF($E30="PA","AcroPair_Value",IF(LEFT($F29,4)="Acro",CONCATENATE(BO$16,$E30,"_Value"),""))))</f>
        <v/>
      </c>
      <c r="BP30" s="91" t="str">
        <f t="shared" ref="BP30" si="659">IF($E30="H",IF($F29="Hybrid - Thrust + 2 connections","Hybrid_Mix_Req_Value","HybridDD_Value"),IF($E30=3,"TreDD_Value",IF($E30="PA","AcroPair_Value",IF(LEFT($F29,4)="Acro",CONCATENATE(BP$16,$E30,"_Value"),""))))</f>
        <v/>
      </c>
      <c r="BQ30" s="91" t="str">
        <f t="shared" ref="BQ30" si="660">IF($E30="H",IF($F29="Hybrid - Thrust + 2 connections","Hybrid_Mix_Req_Value","HybridDD_Value"),IF($E30=3,"TreDD_Value",IF($E30="PA","AcroPair_Value",IF(LEFT($F29,4)="Acro",CONCATENATE(BQ$16,$E30,"_Value"),""))))</f>
        <v/>
      </c>
      <c r="BR30" s="90" t="str">
        <f t="shared" ref="BR30" si="661">IF($E30="H",IF($F29="Hybrid - Thrust + 2 connections","Data!$BI$1:$BI$5","HybridDD_Value"),"Data!$BI$1:$BI$5")</f>
        <v>Data!$BI$1:$BI$5</v>
      </c>
      <c r="BS30" s="90" t="str">
        <f t="shared" ref="BS30" si="662">IF($E30="H",IF($F29="Hybrid - Thrust + 2 connections","Data!$BI$1:$BI$5","HybridDD_Value"),"Data!$BI$1:$BI$5")</f>
        <v>Data!$BI$1:$BI$5</v>
      </c>
      <c r="BT30" s="90" t="str">
        <f t="shared" ref="BT30" si="663">IF($E30="H",IF($F29="Hybrid - Thrust + 2 connections","Data!$BI$1:$BI$5","HybridDD_Value"),"Data!$BI$1:$BI$5")</f>
        <v>Data!$BI$1:$BI$5</v>
      </c>
      <c r="BU30" s="90" t="str">
        <f t="shared" ref="BU30" si="664">IF($E30="H",IF($F29="Hybrid - Thrust + 2 connections","Data!$BI$1:$BI$5","HybridDD_Value"),"Data!$BI$1:$BI$5")</f>
        <v>Data!$BI$1:$BI$5</v>
      </c>
      <c r="BV30" s="90" t="str">
        <f t="shared" ref="BV30" si="665">IF($E30="H",IF($F29="Hybrid - Thrust + 2 connections","Data!$BI$1:$BI$5","HybridDD_Value"),"Data!$BI$1:$BI$5")</f>
        <v>Data!$BI$1:$BI$5</v>
      </c>
      <c r="BW30" s="90" t="str">
        <f t="shared" ref="BW30" si="666">IF($E30="H",IF($F29="Hybrid - Thrust + 2 connections","Data!$BI$1:$BI$5","HybridDD_Value"),"Data!$BI$1:$BI$5")</f>
        <v>Data!$BI$1:$BI$5</v>
      </c>
      <c r="BX30" s="90" t="str">
        <f t="shared" ref="BX30" si="667">IF($E30="H",IF($F29="Hybrid - Thrust + 2 connections","Data!$BI$1:$BI$5","HybridDD_Value"),"Data!$BI$1:$BI$5")</f>
        <v>Data!$BI$1:$BI$5</v>
      </c>
      <c r="BY30" s="90" t="str">
        <f t="shared" ref="BY30" si="668">IF($E30="H",IF($F29="Hybrid - Thrust + 2 connections","Data!$BI$1:$BI$5","HybridDD_Value"),"Data!$BI$1:$BI$5")</f>
        <v>Data!$BI$1:$BI$5</v>
      </c>
      <c r="BZ30" s="90" t="str">
        <f t="shared" ref="BZ30" si="669">IF($E30="H",IF($F29="Hybrid - Thrust + 2 connections","Data!$BI$1:$BI$5","HybridDD_Value"),"Data!$BI$1:$BI$5")</f>
        <v>Data!$BI$1:$BI$5</v>
      </c>
      <c r="CA30" s="90" t="str">
        <f t="shared" ref="CA30" si="670">IF($E30="H",IF($F29="Hybrid - Thrust + 2 connections","Data!$BI$1:$BI$5","HybridDD_Value"),"Data!$BI$1:$BI$5")</f>
        <v>Data!$BI$1:$BI$5</v>
      </c>
      <c r="CB30" s="90" t="str">
        <f t="shared" ref="CB30" si="671">IF($E30="H",IF($F29="Hybrid - Thrust + 2 connections","Data!$BI$1:$BI$5","HybridDD_Value"),"Data!$BI$1:$BI$5")</f>
        <v>Data!$BI$1:$BI$5</v>
      </c>
      <c r="CC30" s="90" t="str">
        <f t="shared" ref="CC30" si="672">IF($E30="H",IF($F29="Hybrid - Thrust + 2 connections","Data!$BI$1:$BI$5","HybridDD_Value"),"Data!$BI$1:$BI$5")</f>
        <v>Data!$BI$1:$BI$5</v>
      </c>
      <c r="CD30" s="90" t="str">
        <f t="shared" ref="CD30" si="673">IF($E30="H",IF($F29="Hybrid - Thrust + 2 connections","Data!$BI$1:$BI$5","HybridDD_Value"),"Data!$BI$1:$BI$5")</f>
        <v>Data!$BI$1:$BI$5</v>
      </c>
      <c r="CE30" s="90" t="str">
        <f t="shared" ref="CE30" si="674">IF($E30="H",IF($F29="Hybrid - Thrust + 2 connections","Data!$BI$1:$BI$5","HybridDD_Value"),"Data!$BI$1:$BI$5")</f>
        <v>Data!$BI$1:$BI$5</v>
      </c>
      <c r="CF30" s="90" t="str">
        <f t="shared" ref="CF30" si="675">IF($E30="H",IF($F29="Hybrid - Thrust + 2 connections","Data!$BI$1:$BI$5","HybridDD_Value"),"Data!$BI$1:$BI$5")</f>
        <v>Data!$BI$1:$BI$5</v>
      </c>
      <c r="CG30" s="90" t="str">
        <f t="shared" ref="CG30" si="676">IF($E30="H",IF($F29="Hybrid - Thrust + 2 connections","Data!$BI$1:$BI$5","HybridDD_Value"),"Data!$BI$1:$BI$5")</f>
        <v>Data!$BI$1:$BI$5</v>
      </c>
      <c r="CH30" s="90" t="str">
        <f t="shared" ref="CH30" si="677">IF($E30="H",IF($F29="Hybrid - Thrust + 2 connections","Data!$BI$1:$BI$5","HybridDD_Value"),"Data!$BI$1:$BI$5")</f>
        <v>Data!$BI$1:$BI$5</v>
      </c>
      <c r="CI30" s="90" t="str">
        <f t="shared" ref="CI30" si="678">IF($E30="H",IF($F29="Hybrid - Thrust + 2 connections","Data!$BI$1:$BI$5","HybridDD_Value"),"Data!$BI$1:$BI$5")</f>
        <v>Data!$BI$1:$BI$5</v>
      </c>
      <c r="CJ30" s="90" t="str">
        <f t="shared" ref="CJ30" si="679">IF($E30="H",IF($F29="Hybrid - Thrust + 2 connections","Data!$BI$1:$BI$5","HybridDD_Value"),"Data!$BI$1:$BI$5")</f>
        <v>Data!$BI$1:$BI$5</v>
      </c>
      <c r="CK30" s="90" t="str">
        <f t="shared" ref="CK30" si="680">IF($E30="H",IF($F29="Hybrid - Thrust + 2 connections","Data!$BI$1:$BI$5","HybridDD_Value"),"Data!$BI$1:$BI$5")</f>
        <v>Data!$BI$1:$BI$5</v>
      </c>
      <c r="CL30" s="90" t="str">
        <f t="shared" ref="CL30" si="681">IF($E30="H",IF($F29="Hybrid - Thrust + 2 connections","Data!$BI$1:$BI$5","HybridDD_Value"),"Data!$BI$1:$BI$5")</f>
        <v>Data!$BI$1:$BI$5</v>
      </c>
      <c r="CM30" s="101"/>
      <c r="CN30" s="101"/>
      <c r="CO30" s="102" t="str">
        <f>IFERROR(IF(AND($BV$6="T",$BV$8="T",LEFT(F29,4)="Acro",AO30&gt;3),"X",IF($N$7="X",IF(AND(E30="C",AO30&gt;$CN$6),"X",IF(AND(E30="A",AO30&gt;$CN$4),"X",IF(AND(E30="B",AO30&gt;$CN$5),"X",IF(AND(E30="P",AO30&gt;$CN$7),"X","")))),"")),"")</f>
        <v/>
      </c>
      <c r="CP30" s="94"/>
      <c r="CQ30" s="91"/>
      <c r="CS30" s="91"/>
      <c r="CT30" s="91"/>
      <c r="CU30" s="91"/>
      <c r="CV30" s="91"/>
      <c r="CW30" s="91"/>
      <c r="CX30" s="91"/>
      <c r="CY30" s="91"/>
      <c r="CZ30" s="91"/>
      <c r="DD30" s="88" t="str">
        <f t="shared" si="10"/>
        <v/>
      </c>
      <c r="DE30" s="88" t="str">
        <f t="shared" si="11"/>
        <v/>
      </c>
      <c r="DF30" s="88" t="str">
        <f t="shared" si="12"/>
        <v/>
      </c>
      <c r="DG30" s="88" t="str">
        <f t="shared" si="13"/>
        <v/>
      </c>
      <c r="DO30" s="88">
        <v>12</v>
      </c>
      <c r="ED30" s="88" t="str">
        <f t="shared" si="14"/>
        <v/>
      </c>
      <c r="EE30" s="88" t="str">
        <f t="shared" si="15"/>
        <v/>
      </c>
      <c r="EI30" s="88" t="str" cm="1">
        <f t="array" ref="EI30">IFERROR(INDEX(EK30:FN30,MATCH(TRUE,INDEX((EK30:FN30&lt;&gt;""),),0)),"")</f>
        <v/>
      </c>
      <c r="EK30" s="88" t="str">
        <f t="shared" ref="EK30" si="682">IF(F29="Hybrid - Thrust + 2 connections",IF(COUNTIF($EK29:$FN29,EK29)&gt;1,EK29,""),IF(COUNTIF($EK29:$FN29,EK29)&gt;5,EK29,""))</f>
        <v/>
      </c>
      <c r="EL30" s="88" t="str">
        <f t="shared" ref="EL30" si="683">IF(G29="Hybrid - Thrust + 2 connections",IF(COUNTIF($EK29:$FN29,EL29)&gt;1,EL29,""),IF(COUNTIF($EK29:$FN29,EL29)&gt;5,EL29,""))</f>
        <v/>
      </c>
      <c r="EM30" s="88" t="str">
        <f t="shared" ref="EM30" si="684">IF(H29="Hybrid - Thrust + 2 connections",IF(COUNTIF($EK29:$FN29,EM29)&gt;1,EM29,""),IF(COUNTIF($EK29:$FN29,EM29)&gt;5,EM29,""))</f>
        <v/>
      </c>
      <c r="EN30" s="88" t="str">
        <f t="shared" ref="EN30" si="685">IF(I29="Hybrid - Thrust + 2 connections",IF(COUNTIF($EK29:$FN29,EN29)&gt;1,EN29,""),IF(COUNTIF($EK29:$FN29,EN29)&gt;5,EN29,""))</f>
        <v/>
      </c>
      <c r="EO30" s="88" t="str">
        <f t="shared" ref="EO30" si="686">IF(J29="Hybrid - Thrust + 2 connections",IF(COUNTIF($EK29:$FN29,EO29)&gt;1,EO29,""),IF(COUNTIF($EK29:$FN29,EO29)&gt;5,EO29,""))</f>
        <v/>
      </c>
      <c r="EP30" s="88" t="str">
        <f t="shared" ref="EP30" si="687">IF(K29="Hybrid - Thrust + 2 connections",IF(COUNTIF($EK29:$FN29,EP29)&gt;1,EP29,""),IF(COUNTIF($EK29:$FN29,EP29)&gt;5,EP29,""))</f>
        <v/>
      </c>
      <c r="EQ30" s="88" t="str">
        <f t="shared" ref="EQ30" si="688">IF(L29="Hybrid - Thrust + 2 connections",IF(COUNTIF($EK29:$FN29,EQ29)&gt;1,EQ29,""),IF(COUNTIF($EK29:$FN29,EQ29)&gt;5,EQ29,""))</f>
        <v/>
      </c>
      <c r="ER30" s="88" t="str">
        <f t="shared" ref="ER30" si="689">IF(M29="Hybrid - Thrust + 2 connections",IF(COUNTIF($EK29:$FN29,ER29)&gt;1,ER29,""),IF(COUNTIF($EK29:$FN29,ER29)&gt;5,ER29,""))</f>
        <v/>
      </c>
      <c r="ES30" s="88" t="str">
        <f t="shared" ref="ES30" si="690">IF(N29="Hybrid - Thrust + 2 connections",IF(COUNTIF($EK29:$FN29,ES29)&gt;1,ES29,""),IF(COUNTIF($EK29:$FN29,ES29)&gt;5,ES29,""))</f>
        <v/>
      </c>
      <c r="ET30" s="88" t="str">
        <f t="shared" ref="ET30" si="691">IF(O29="Hybrid - Thrust + 2 connections",IF(COUNTIF($EK29:$FN29,ET29)&gt;1,ET29,""),IF(COUNTIF($EK29:$FN29,ET29)&gt;5,ET29,""))</f>
        <v/>
      </c>
      <c r="EU30" s="88" t="str">
        <f t="shared" ref="EU30" si="692">IF(P29="Hybrid - Thrust + 2 connections",IF(COUNTIF($EK29:$FN29,EU29)&gt;1,EU29,""),IF(COUNTIF($EK29:$FN29,EU29)&gt;5,EU29,""))</f>
        <v/>
      </c>
      <c r="EV30" s="88" t="str">
        <f t="shared" ref="EV30" si="693">IF(Q29="Hybrid - Thrust + 2 connections",IF(COUNTIF($EK29:$FN29,EV29)&gt;1,EV29,""),IF(COUNTIF($EK29:$FN29,EV29)&gt;5,EV29,""))</f>
        <v/>
      </c>
      <c r="EW30" s="88" t="str">
        <f t="shared" ref="EW30" si="694">IF(R29="Hybrid - Thrust + 2 connections",IF(COUNTIF($EK29:$FN29,EW29)&gt;1,EW29,""),IF(COUNTIF($EK29:$FN29,EW29)&gt;5,EW29,""))</f>
        <v/>
      </c>
      <c r="EX30" s="88" t="str">
        <f t="shared" ref="EX30" si="695">IF(S29="Hybrid - Thrust + 2 connections",IF(COUNTIF($EK29:$FN29,EX29)&gt;1,EX29,""),IF(COUNTIF($EK29:$FN29,EX29)&gt;5,EX29,""))</f>
        <v/>
      </c>
      <c r="EY30" s="88" t="str">
        <f t="shared" ref="EY30" si="696">IF(T29="Hybrid - Thrust + 2 connections",IF(COUNTIF($EK29:$FN29,EY29)&gt;1,EY29,""),IF(COUNTIF($EK29:$FN29,EY29)&gt;5,EY29,""))</f>
        <v/>
      </c>
      <c r="EZ30" s="88" t="str">
        <f t="shared" ref="EZ30" si="697">IF(U29="Hybrid - Thrust + 2 connections",IF(COUNTIF($EK29:$FN29,EZ29)&gt;1,EZ29,""),IF(COUNTIF($EK29:$FN29,EZ29)&gt;5,EZ29,""))</f>
        <v/>
      </c>
      <c r="FA30" s="88" t="str">
        <f t="shared" ref="FA30" si="698">IF(V29="Hybrid - Thrust + 2 connections",IF(COUNTIF($EK29:$FN29,FA29)&gt;1,FA29,""),IF(COUNTIF($EK29:$FN29,FA29)&gt;5,FA29,""))</f>
        <v/>
      </c>
      <c r="FB30" s="88" t="str">
        <f t="shared" ref="FB30" si="699">IF(W29="Hybrid - Thrust + 2 connections",IF(COUNTIF($EK29:$FN29,FB29)&gt;1,FB29,""),IF(COUNTIF($EK29:$FN29,FB29)&gt;5,FB29,""))</f>
        <v/>
      </c>
      <c r="FC30" s="88" t="str">
        <f t="shared" ref="FC30" si="700">IF(X29="Hybrid - Thrust + 2 connections",IF(COUNTIF($EK29:$FN29,FC29)&gt;1,FC29,""),IF(COUNTIF($EK29:$FN29,FC29)&gt;5,FC29,""))</f>
        <v/>
      </c>
      <c r="FD30" s="88" t="str">
        <f t="shared" ref="FD30" si="701">IF(Y29="Hybrid - Thrust + 2 connections",IF(COUNTIF($EK29:$FN29,FD29)&gt;1,FD29,""),IF(COUNTIF($EK29:$FN29,FD29)&gt;5,FD29,""))</f>
        <v/>
      </c>
      <c r="FE30" s="88" t="str">
        <f t="shared" ref="FE30" si="702">IF(Z29="Hybrid - Thrust + 2 connections",IF(COUNTIF($EK29:$FN29,FE29)&gt;1,FE29,""),IF(COUNTIF($EK29:$FN29,FE29)&gt;5,FE29,""))</f>
        <v/>
      </c>
      <c r="FF30" s="88" t="str">
        <f t="shared" ref="FF30" si="703">IF(AA29="Hybrid - Thrust + 2 connections",IF(COUNTIF($EK29:$FN29,FF29)&gt;1,FF29,""),IF(COUNTIF($EK29:$FN29,FF29)&gt;5,FF29,""))</f>
        <v/>
      </c>
      <c r="FG30" s="88" t="str">
        <f t="shared" ref="FG30" si="704">IF(AB29="Hybrid - Thrust + 2 connections",IF(COUNTIF($EK29:$FN29,FG29)&gt;1,FG29,""),IF(COUNTIF($EK29:$FN29,FG29)&gt;5,FG29,""))</f>
        <v/>
      </c>
      <c r="FH30" s="88" t="str">
        <f t="shared" ref="FH30" si="705">IF(AC29="Hybrid - Thrust + 2 connections",IF(COUNTIF($EK29:$FN29,FH29)&gt;1,FH29,""),IF(COUNTIF($EK29:$FN29,FH29)&gt;5,FH29,""))</f>
        <v/>
      </c>
      <c r="FI30" s="88" t="str">
        <f t="shared" ref="FI30" si="706">IF(AD29="Hybrid - Thrust + 2 connections",IF(COUNTIF($EK29:$FN29,FI29)&gt;1,FI29,""),IF(COUNTIF($EK29:$FN29,FI29)&gt;5,FI29,""))</f>
        <v/>
      </c>
      <c r="FJ30" s="88" t="str">
        <f t="shared" ref="FJ30" si="707">IF(AE29="Hybrid - Thrust + 2 connections",IF(COUNTIF($EK29:$FN29,FJ29)&gt;1,FJ29,""),IF(COUNTIF($EK29:$FN29,FJ29)&gt;5,FJ29,""))</f>
        <v/>
      </c>
      <c r="FK30" s="88" t="str">
        <f t="shared" ref="FK30" si="708">IF(AF29="Hybrid - Thrust + 2 connections",IF(COUNTIF($EK29:$FN29,FK29)&gt;1,FK29,""),IF(COUNTIF($EK29:$FN29,FK29)&gt;5,FK29,""))</f>
        <v/>
      </c>
      <c r="FL30" s="88" t="str">
        <f t="shared" ref="FL30" si="709">IF(AG29="Hybrid - Thrust + 2 connections",IF(COUNTIF($EK29:$FN29,FL29)&gt;1,FL29,""),IF(COUNTIF($EK29:$FN29,FL29)&gt;5,FL29,""))</f>
        <v/>
      </c>
      <c r="FM30" s="88" t="str">
        <f t="shared" ref="FM30" si="710">IF(AH29="Hybrid - Thrust + 2 connections",IF(COUNTIF($EK29:$FN29,FM29)&gt;1,FM29,""),IF(COUNTIF($EK29:$FN29,FM29)&gt;5,FM29,""))</f>
        <v/>
      </c>
      <c r="FN30" s="88" t="str">
        <f t="shared" ref="FN30" si="711">IF(AI29="Hybrid - Thrust + 2 connections",IF(COUNTIF($EK29:$FN29,FN29)&gt;1,FN29,""),IF(COUNTIF($EK29:$FN29,FN29)&gt;5,FN29,""))</f>
        <v/>
      </c>
      <c r="FO30" s="88">
        <f t="shared" ref="FO30" si="712">FO28+5</f>
        <v>25</v>
      </c>
      <c r="FP30" s="88" t="str" cm="1">
        <f t="array" ref="FP30">IF(FQ30&lt;&gt;"",LEFT(FQ30,FIND("*",FQ30)-1),INDEX($FP$75:$FP$172,FO30+1))</f>
        <v/>
      </c>
      <c r="FQ30" s="88" t="str" cm="1">
        <f t="array" ref="FQ30">INDEX($FQ$75:$FQ$172,FO30+1)</f>
        <v/>
      </c>
      <c r="FR30" s="285"/>
      <c r="FS30" s="285"/>
      <c r="FT30" s="285"/>
      <c r="FU30" s="285"/>
      <c r="FV30" s="285"/>
      <c r="FW30" s="285"/>
      <c r="FX30" s="285"/>
      <c r="FY30" s="285"/>
      <c r="FZ30" s="285"/>
      <c r="GA30" s="285"/>
      <c r="GB30" s="285"/>
      <c r="GC30" s="285"/>
      <c r="GD30" s="285"/>
      <c r="GE30" s="285"/>
      <c r="GF30" s="285"/>
      <c r="GG30" s="285"/>
      <c r="GH30" s="285"/>
      <c r="GI30" s="285"/>
      <c r="GJ30" s="285"/>
      <c r="GK30" s="285"/>
      <c r="GL30" s="285"/>
      <c r="GM30" s="285"/>
      <c r="GN30" s="285"/>
      <c r="GO30" s="285"/>
      <c r="GP30" s="285"/>
      <c r="GQ30" s="285"/>
      <c r="GR30" s="285"/>
      <c r="GS30" s="285"/>
      <c r="GT30" s="285"/>
      <c r="GU30" s="285"/>
      <c r="GV30" s="88"/>
      <c r="GW30" s="88"/>
      <c r="GX30" s="88"/>
      <c r="GY30" s="88"/>
      <c r="GZ30" s="88"/>
      <c r="HA30" s="88"/>
      <c r="HB30" s="88"/>
      <c r="HC30" s="88"/>
      <c r="HD30" s="88" t="str">
        <f>IF($F29="Hybrid - Thrust + 2 connections",COUNTBLANK(J29:L29),"")</f>
        <v/>
      </c>
      <c r="HE30" s="88"/>
      <c r="HF30" s="91"/>
      <c r="HG30" s="91"/>
      <c r="HH30" s="91"/>
      <c r="HI30" s="91"/>
    </row>
    <row r="31" spans="1:222" ht="12.75" customHeight="1" x14ac:dyDescent="0.35">
      <c r="A31" s="28" t="str">
        <f>IF(AND(E29="",A29&lt;&gt;""),IF(CP29=$CP$18,"",IF(C29&lt;&gt;"",IF(D29=59,MINUTE(CP29)+1,MINUTE(CP29)),"")),"")</f>
        <v/>
      </c>
      <c r="B31" s="29" t="str">
        <f>IF(AND(E29="",B29&lt;&gt;""),IF(CP29=$CP$18,"",IF(C29&lt;&gt;"",IF(D29=59,0,SECOND(CP29)+1),"")),"")</f>
        <v/>
      </c>
      <c r="C31" s="39"/>
      <c r="D31" s="39"/>
      <c r="E31" s="9"/>
      <c r="F31" s="40"/>
      <c r="G31" s="31" t="str">
        <f>IF(F31&lt;&gt;"",IF(OR(F31="Transition",F31="Transition - Surface Connection"),0,MAX($G$19:G30)+1),"")</f>
        <v/>
      </c>
      <c r="H31" s="43" t="str">
        <f>IFERROR(IF(E32="3","",IF(OR(F31="Hybrid - Choreography (DD = 1)",LEFT(F31,5)="Trans"),"No DD",CONCATENATE("BM = ",I32))),"")</f>
        <v/>
      </c>
      <c r="I31" s="44"/>
      <c r="J31" s="109"/>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58"/>
      <c r="AO31" s="32"/>
      <c r="AP31" s="61"/>
      <c r="AQ31" s="61"/>
      <c r="AR31" s="90"/>
      <c r="AS31" s="90"/>
      <c r="AT31" s="90"/>
      <c r="AU31" s="90"/>
      <c r="AV31" s="90"/>
      <c r="AW31" s="91" t="str">
        <f t="shared" ref="AW31" si="713">E32</f>
        <v/>
      </c>
      <c r="AX31" s="94" t="str">
        <f t="shared" ref="AX31" si="714">IF(AY31=0,"",TIME(0,A31,B31))</f>
        <v/>
      </c>
      <c r="AY31" s="94">
        <f t="shared" ref="AY31" si="715">TIME(0,C31,D31)</f>
        <v>0</v>
      </c>
      <c r="AZ31" s="94" t="str">
        <f t="shared" ref="AZ31" si="716">IFERROR(AY31-AX31,"")</f>
        <v/>
      </c>
      <c r="BA31" s="237" t="str">
        <f t="shared" ref="BA31" si="717">IF($AX$17=0,"",IF(AND($C$10&lt;&gt;"",AW31="H",AZ31&gt;$AX$17),"X",""))</f>
        <v/>
      </c>
      <c r="BB31" s="90"/>
      <c r="BC31" s="90"/>
      <c r="BD31" s="90"/>
      <c r="BE31" s="90"/>
      <c r="BF31" s="90"/>
      <c r="BG31" s="90" t="str">
        <f>IFERROR(IF(F31&lt;&gt;"",INDEX(Parts_Active,MATCH(F31,Parts_Active,0)),""),"No")</f>
        <v/>
      </c>
      <c r="BH31" s="90"/>
      <c r="BI31" s="90" t="str">
        <f>IF($E32="H",IF($F31="Hybrid - Thrust + 2 connections","Hybrid_Mix_Req",IF($F31="Hybrid - Choreography (DD = 1)","Hybrid_ChoHY","HybridDD_Code")),IF($E32=3,"TreDD_Code",IF($E32="PA","AcroPair_Code",IF(LEFT($F31,4)="Acro",CONCATENATE(BI$16,$E32,"_Code"),"Data!$BI$1:$BI$5"))))</f>
        <v>Data!$BI$1:$BI$5</v>
      </c>
      <c r="BJ31" s="90" t="str">
        <f t="shared" ref="BJ31" si="718">IF($E32="H",IF($F31="Hybrid - Thrust + 2 connections","Hybrid_Mix_Req",IF($F31="Hybrid - min 4 swimmers (no DD)","Data!$BI$1:$BI$5","HybridDD_Code")),IF($E32=3,"TreDD_Code",IF($E32="PA","AcroPair_Code",IF(LEFT($F31,4)="Acro",CONCATENATE(BJ$16,$E32,"_Code"),"Data!$BI$1:$BI$5"))))</f>
        <v>Data!$BI$1:$BI$5</v>
      </c>
      <c r="BK31" s="90" t="str">
        <f t="shared" si="6"/>
        <v>Data!$BI$1:$BI$5</v>
      </c>
      <c r="BL31" s="90" t="str">
        <f t="shared" si="6"/>
        <v>Data!$BI$1:$BI$5</v>
      </c>
      <c r="BM31" s="90" t="str">
        <f t="shared" si="6"/>
        <v>Data!$BI$1:$BI$5</v>
      </c>
      <c r="BN31" s="90" t="str">
        <f t="shared" si="6"/>
        <v>Data!$BI$1:$BI$5</v>
      </c>
      <c r="BO31" s="90" t="str">
        <f t="shared" si="6"/>
        <v>Data!$BI$1:$BI$5</v>
      </c>
      <c r="BP31" s="90" t="str">
        <f t="shared" si="6"/>
        <v>Data!$BI$1:$BI$5</v>
      </c>
      <c r="BQ31" s="90" t="str">
        <f t="shared" si="6"/>
        <v>Data!$BI$1:$BI$5</v>
      </c>
      <c r="BR31" s="90" t="str">
        <f t="shared" ref="BR31" si="719">IF($E32="H",IF($F31="Hybrid - Thrust + 2 connections","Data!$BI$1:$BI$5","HybridDD_Code"),"Data!$BI$1:$BI$5")</f>
        <v>Data!$BI$1:$BI$5</v>
      </c>
      <c r="BS31" s="90" t="str">
        <f t="shared" si="445"/>
        <v>Data!$BI$1:$BI$5</v>
      </c>
      <c r="BT31" s="90" t="str">
        <f t="shared" si="445"/>
        <v>Data!$BI$1:$BI$5</v>
      </c>
      <c r="BU31" s="90" t="str">
        <f t="shared" si="445"/>
        <v>Data!$BI$1:$BI$5</v>
      </c>
      <c r="BV31" s="90" t="str">
        <f t="shared" si="445"/>
        <v>Data!$BI$1:$BI$5</v>
      </c>
      <c r="BW31" s="90" t="str">
        <f t="shared" si="445"/>
        <v>Data!$BI$1:$BI$5</v>
      </c>
      <c r="BX31" s="90" t="str">
        <f t="shared" si="445"/>
        <v>Data!$BI$1:$BI$5</v>
      </c>
      <c r="BY31" s="90" t="str">
        <f t="shared" si="445"/>
        <v>Data!$BI$1:$BI$5</v>
      </c>
      <c r="BZ31" s="90" t="str">
        <f t="shared" si="445"/>
        <v>Data!$BI$1:$BI$5</v>
      </c>
      <c r="CA31" s="90" t="str">
        <f t="shared" si="445"/>
        <v>Data!$BI$1:$BI$5</v>
      </c>
      <c r="CB31" s="90" t="str">
        <f t="shared" si="445"/>
        <v>Data!$BI$1:$BI$5</v>
      </c>
      <c r="CC31" s="90" t="str">
        <f t="shared" si="445"/>
        <v>Data!$BI$1:$BI$5</v>
      </c>
      <c r="CD31" s="90" t="str">
        <f t="shared" si="445"/>
        <v>Data!$BI$1:$BI$5</v>
      </c>
      <c r="CE31" s="90" t="str">
        <f t="shared" si="445"/>
        <v>Data!$BI$1:$BI$5</v>
      </c>
      <c r="CF31" s="90" t="str">
        <f t="shared" si="445"/>
        <v>Data!$BI$1:$BI$5</v>
      </c>
      <c r="CG31" s="90" t="str">
        <f t="shared" si="445"/>
        <v>Data!$BI$1:$BI$5</v>
      </c>
      <c r="CH31" s="90" t="str">
        <f t="shared" si="445"/>
        <v>Data!$BI$1:$BI$5</v>
      </c>
      <c r="CI31" s="90" t="str">
        <f t="shared" si="8"/>
        <v>Data!$BI$1:$BI$5</v>
      </c>
      <c r="CJ31" s="90" t="str">
        <f t="shared" si="8"/>
        <v>Data!$BI$1:$BI$5</v>
      </c>
      <c r="CK31" s="90" t="str">
        <f t="shared" si="8"/>
        <v>Data!$BI$1:$BI$5</v>
      </c>
      <c r="CL31" s="90" t="str">
        <f t="shared" si="8"/>
        <v>Data!$BI$1:$BI$5</v>
      </c>
      <c r="CM31" s="90"/>
      <c r="CN31" s="90"/>
      <c r="CO31" s="93" t="str">
        <f>IFERROR(TIME(0,A31,B31),"")</f>
        <v/>
      </c>
      <c r="CP31" s="94">
        <f>IFERROR(TIME(0,C31,D31),"")</f>
        <v>0</v>
      </c>
      <c r="CQ31" s="94" t="str">
        <f t="shared" ref="CQ31" si="720">IF(CP31&gt;$D$12,"X","")</f>
        <v/>
      </c>
      <c r="CR31" s="88" t="str">
        <f>IF(AND(F31="Hybrid - Thrust + 2 connections",OR(LEFT(J31,1)="T",LEFT(K31,1)="T",LEFT(L31,1)="T",LEFT(PB31,1)="T",LEFT(M31,1)="T",LEFT(N31,1)="T",LEFT(O31,1)="T",LEFT(P31,1)="T",LEFT(Q31,1)="T",LEFT(R31,1)="T",LEFT(S31,1)="T",LEFT(T31,1)="T",LEFT(U31,1)="T",LEFT(V31,1)="T",LEFT(W31,1)="T",LEFT(X31,1)="T",LEFT(AK31,1)="T",LEFT(AL31,1)="T",LEFT(AM31,1)="T")),IF(OR(LEN(J31)=2,LEN(K31)=2,LEN(L31)=2,LEN(M31)=2,LEN(N31)=2,LEN(O31)=2,LEN(P31)=2,LEN(Q31)=2,LEN(R31)=2,LEN(S31)=2,LEN(T31)=2,LEN(U31)=2,LEN(V31)=2,LEN(W31)=2,LEN(X31)=2,LEN(Y31)=2,LEN(Z31)=2,LEN(AK31)=2,LEN(AL31)=2,LEN(AM31)=2),"X",""),"")</f>
        <v/>
      </c>
      <c r="CS31" s="91"/>
      <c r="CT31" s="88" t="str">
        <f>IF(LEFT(F31,4)="Acro",IF(AND(N31&lt;&gt;"",M31=RIGHT(N31,2)),"X","OK"),"")</f>
        <v/>
      </c>
      <c r="CU31" s="90" t="str">
        <f t="shared" ref="CU31:DB31" si="721">IFERROR(IF(AND(LEFT($F31,4)="Acro",INDEX(Requ_App,MATCH(BI31,Requ_Code,0))="No"),"X",""),"")</f>
        <v/>
      </c>
      <c r="CV31" s="90" t="str">
        <f t="shared" si="721"/>
        <v/>
      </c>
      <c r="CW31" s="90" t="str">
        <f t="shared" si="721"/>
        <v/>
      </c>
      <c r="CX31" s="90" t="str">
        <f t="shared" si="721"/>
        <v/>
      </c>
      <c r="CY31" s="90" t="str">
        <f t="shared" si="721"/>
        <v/>
      </c>
      <c r="CZ31" s="90" t="str">
        <f t="shared" si="721"/>
        <v/>
      </c>
      <c r="DA31" s="90" t="str">
        <f t="shared" si="721"/>
        <v/>
      </c>
      <c r="DB31" s="90" t="str">
        <f t="shared" si="721"/>
        <v/>
      </c>
      <c r="DC31" s="90" t="str">
        <f>IFERROR(IF(AND(LEFT($F31,4)="Acro",INDEX(Requ_App,MATCH(BP31,Requ_Code,0))="No"),"X",""),"")</f>
        <v/>
      </c>
      <c r="DD31" s="88" t="str">
        <f t="shared" si="10"/>
        <v/>
      </c>
      <c r="DE31" s="88" t="str">
        <f t="shared" si="11"/>
        <v/>
      </c>
      <c r="DF31" s="88" t="str">
        <f t="shared" si="12"/>
        <v/>
      </c>
      <c r="DG31" s="88" t="str">
        <f t="shared" si="13"/>
        <v/>
      </c>
      <c r="DK31" s="88">
        <f t="shared" ref="DK31" si="722">IF(AND(E32="A",OR(Q31="Grip",Q31="Conn",Q31="Catch")),"A1",IF(AND(E32="A",OR(Q31="Hula",Q31="RetSq",Q31="RetPa")),"A2",IF(AND(E32="B",OR(Q31="Twirl",Q31="RotF")),"B1",IF(AND(E32="B",OR(Q31="Moon",Q31="Mov",Q31="Hold")),"B2",IF(AND(E32="P",OR(Q31="Porp",Q31="Splch")),"P1",IF(AND(E32="P",OR(Q31="Diva",Q31="Stand")),"P2",IF(AND(E32="P",OR(Q31="Spider",Q31="Climb")),"P3",IF(AND(E32="P",OR(Q31="Fall",Q31="FTurn")),"P4",IF(AND(E32="C",OR(Q31="Jump",Q31="Jump&gt;",Q31="On1Foot",Q31="1F&gt;1F")),"C1",IF(AND(E32="C",OR(Q31="Run",Q31="BRun")),"C2",1))))))))))</f>
        <v>1</v>
      </c>
      <c r="DL31" s="88">
        <f t="shared" ref="DL31" si="723">IF(AND(E32="A",OR(R31="Grip",R31="Conn",R31="Catch")),"A1",IF(AND(E32="A",OR(R31="Hula",R31="RetSq",R31="RetPa")),"A2",IF(AND(E32="B",OR(R31="Twirl",R31="RotF")),"B1",IF(AND(E32="B",OR(R31="Moon",R31="Mov",R31="Hold")),"B2",IF(AND(E32="P",OR(R31="Porp",R31="Spich")),"P1",IF(AND(E32="P",OR(R31="Diva",R31="Stand")),"P2",IF(AND(E32="P",OR(R31="Spider",R31="Climb")),"P3",IF(AND(E32="P",OR(R31="Fall",R31="FTurn")),"P4",IF(AND(E32="C",OR(R31="Jump",R31="Jump&gt;",R31="On1Foot",R31="1F&gt;1F")),"C1",IF(AND(E32="C",OR(R31="Run",R31="BRun")),"C2",2))))))))))</f>
        <v>2</v>
      </c>
      <c r="DM31" s="88" t="str">
        <f t="shared" ref="DM31" si="724">IF(AND(N31="",OR(Q31&lt;&gt;"",R31&lt;&gt;"")),"X",IF(AND(LEFT(F31,4)="Acro",Q31&lt;&gt;"",OR(Q31=R31,DK31=DL31)),IF(R31="C-Roll","","X"),IF(OR(AND(E32="A",Q31="Catch",R31&lt;&gt;"Dbl"),AND(E32="A",R31="Catch",Q31&lt;&gt;"Dbl")),"X","")))</f>
        <v/>
      </c>
      <c r="DN31" s="88" t="str">
        <f>IF(E32="PA",J31,"")</f>
        <v/>
      </c>
      <c r="DO31" s="88">
        <v>13</v>
      </c>
      <c r="DQ31" s="88" t="str">
        <f>IF(AND($E32="A",COUNTIF($DZ$19:$EA$68,DZ31)&gt;1),DZ31,"")</f>
        <v/>
      </c>
      <c r="DR31" s="88" t="str">
        <f>IF(AND($E32="A",COUNTIF($DZ$19:$EA$68,EA31)&gt;1),EA31,"")</f>
        <v/>
      </c>
      <c r="DS31" s="88" t="str">
        <f ca="1">IF(AND($E32="B",COUNTIF($J$19:$J$68,J31)&gt;1),J31,"")</f>
        <v/>
      </c>
      <c r="DT31" s="88" t="str">
        <f ca="1">IF(AND($E32="B",COUNTIF($K$19:$K$68,K31)&gt;1),K31,"")</f>
        <v/>
      </c>
      <c r="DU31" s="88" t="str">
        <f ca="1">IF(AND($E32="C",COUNTIF($J$19:$J$68,J31)&gt;1),J31,"")</f>
        <v/>
      </c>
      <c r="DV31" s="88" t="str">
        <f ca="1">IF(AND($E32="P",COUNTIF($J$19:$J$68,J31)&gt;1),J31,"")</f>
        <v/>
      </c>
      <c r="DW31" s="88" t="str">
        <f ca="1">IF(AND($E32="P",COUNTIF($K$19:$K$68,K31)&gt;1),K31,"")</f>
        <v/>
      </c>
      <c r="DX31" s="88" t="str">
        <f>IF(AND($E32="P",COUNTIF($DZ$19:$EA$68,DZ31)&gt;1),DZ31,"")</f>
        <v/>
      </c>
      <c r="DY31" s="88" t="str">
        <f>IF(AND($E32="P",COUNTIF($DZ$19:$EA$68,EA31)&gt;1),EA31,"")</f>
        <v/>
      </c>
      <c r="DZ31" s="88" t="str">
        <f>IFERROR(IF(OR(E32="A",E32="P"),M31,""),"")</f>
        <v/>
      </c>
      <c r="EA31" s="88" t="str">
        <f>IFERROR(IF(OR(E32="A",E32="P"),RIGHT(N31,2),""),"")</f>
        <v/>
      </c>
      <c r="EB31" s="88" t="str">
        <f t="shared" ref="EB31" si="725">IF(Q31="","",IF(AND($E32="P",COUNTIF($Q$19:$R$68,Q31)&gt;1),Q31,""))</f>
        <v/>
      </c>
      <c r="EC31" s="88" t="str">
        <f t="shared" ref="EC31" si="726">IF(R31="","",IF(AND($E32="P",COUNTIF($Q$19:$R$68,R31)&gt;1),R31,""))</f>
        <v/>
      </c>
      <c r="ED31" s="88" t="str">
        <f t="shared" si="14"/>
        <v/>
      </c>
      <c r="EE31" s="88" t="str">
        <f t="shared" si="15"/>
        <v/>
      </c>
      <c r="EF31" s="88" t="str">
        <f t="shared" ref="EF31" si="727">IF(AND(OR($F$8="Open Team Acrobatic",$F$8="Open Team Technical"),LEFT(F31,4)="Acro"),E32,"")</f>
        <v/>
      </c>
      <c r="EG31" s="88" t="str">
        <f t="shared" ref="EG31" si="728">IF(EF31="","",IFERROR(IF($F$8="Open Team Acrobatic",IF(HLOOKUP(EF31,$DQ$12:$DT$13,2,FALSE)&gt;2,"X",""),IF(HLOOKUP(EF31,$DQ$12:$DT$13,2,FALSE)&gt;1,"X","")),""))</f>
        <v/>
      </c>
      <c r="EI31" s="88" t="str">
        <f t="shared" ref="EI31" si="729">IF(OR(AND(F31="Hybrid - Thrust + 2 connections",EI32="T"),AND(E32="H",EI32&lt;&gt;"",EI85="X")),"X","")</f>
        <v/>
      </c>
      <c r="EK31" s="88">
        <f t="shared" ref="EK31" si="730">IFERROR(IF(AND($E32="H",J31&lt;&gt;"",J31&lt;&gt;"ChoHY"),IF(OR(LEFT(J31,1)="T",LEFT(J31,1)="S",LEFT(J31,1)="A",LEFT(J31,1)="F",LEFT(J31,1)="C"),LEFT(J31,1),"R"),EK$18),"")</f>
        <v>1</v>
      </c>
      <c r="EL31" s="88">
        <f t="shared" ref="EL31" si="731">IFERROR(IF(AND($E32="H",K31&lt;&gt;""),IF(OR(LEFT(K31,1)="T",LEFT(K31,1)="S",LEFT(K31,1)="A",LEFT(K31,1)="F",LEFT(K31,1)="C"),LEFT(K31,1),"R"),EL$18),"")</f>
        <v>2</v>
      </c>
      <c r="EM31" s="88">
        <f t="shared" ref="EM31" si="732">IFERROR(IF(AND($E32="H",L31&lt;&gt;""),IF(OR(LEFT(L31,1)="T",LEFT(L31,1)="S",LEFT(L31,1)="A",LEFT(L31,1)="F",LEFT(L31,1)="C"),LEFT(L31,1),"R"),EM$18),"")</f>
        <v>3</v>
      </c>
      <c r="EN31" s="88">
        <f t="shared" ref="EN31" si="733">IFERROR(IF(AND($E32="H",M31&lt;&gt;""),IF(OR(LEFT(M31,1)="T",LEFT(M31,1)="S",LEFT(M31,1)="A",LEFT(M31,1)="F",LEFT(M31,1)="C"),LEFT(M31,1),"R"),EN$18),"")</f>
        <v>4</v>
      </c>
      <c r="EO31" s="88">
        <f t="shared" ref="EO31" si="734">IFERROR(IF(AND($E32="H",N31&lt;&gt;""),IF(OR(LEFT(N31,1)="T",LEFT(N31,1)="S",LEFT(N31,1)="A",LEFT(N31,1)="F",LEFT(N31,1)="C"),LEFT(N31,1),"R"),EO$18),"")</f>
        <v>5</v>
      </c>
      <c r="EP31" s="88">
        <f t="shared" ref="EP31" si="735">IFERROR(IF(AND($E32="H",O31&lt;&gt;""),IF(OR(LEFT(O31,1)="T",LEFT(O31,1)="S",LEFT(O31,1)="A",LEFT(O31,1)="F",LEFT(O31,1)="C"),LEFT(O31,1),"R"),EP$18),"")</f>
        <v>6</v>
      </c>
      <c r="EQ31" s="88">
        <f t="shared" ref="EQ31" si="736">IFERROR(IF(AND($E32="H",P31&lt;&gt;""),IF(OR(LEFT(P31,1)="T",LEFT(P31,1)="S",LEFT(P31,1)="A",LEFT(P31,1)="F",LEFT(P31,1)="C"),LEFT(P31,1),"R"),EQ$18),"")</f>
        <v>7</v>
      </c>
      <c r="ER31" s="88">
        <f t="shared" ref="ER31" si="737">IFERROR(IF(AND($E32="H",Q31&lt;&gt;""),IF(OR(LEFT(Q31,1)="T",LEFT(Q31,1)="S",LEFT(Q31,1)="A",LEFT(Q31,1)="F",LEFT(Q31,1)="C"),LEFT(Q31,1),"R"),ER$18),"")</f>
        <v>8</v>
      </c>
      <c r="ES31" s="88">
        <f t="shared" ref="ES31" si="738">IFERROR(IF(AND($E32="H",R31&lt;&gt;""),IF(OR(LEFT(R31,1)="T",LEFT(R31,1)="S",LEFT(R31,1)="A",LEFT(R31,1)="F",LEFT(R31,1)="C"),LEFT(R31,1),"R"),ES$18),"")</f>
        <v>9</v>
      </c>
      <c r="ET31" s="88">
        <f t="shared" ref="ET31" si="739">IFERROR(IF(AND($E32="H",S31&lt;&gt;""),IF(OR(LEFT(S31,1)="T",LEFT(S31,1)="S",LEFT(S31,1)="A",LEFT(S31,1)="F",LEFT(S31,1)="C"),LEFT(S31,1),"R"),ET$18),"")</f>
        <v>10</v>
      </c>
      <c r="EU31" s="88">
        <f t="shared" ref="EU31" si="740">IFERROR(IF(AND($E32="H",T31&lt;&gt;""),IF(OR(LEFT(T31,1)="T",LEFT(T31,1)="S",LEFT(T31,1)="A",LEFT(T31,1)="F",LEFT(T31,1)="C"),LEFT(T31,1),"R"),EU$18),"")</f>
        <v>11</v>
      </c>
      <c r="EV31" s="88">
        <f t="shared" ref="EV31" si="741">IFERROR(IF(AND($E32="H",U31&lt;&gt;""),IF(OR(LEFT(U31,1)="T",LEFT(U31,1)="S",LEFT(U31,1)="A",LEFT(U31,1)="F",LEFT(U31,1)="C"),LEFT(U31,1),"R"),EV$18),"")</f>
        <v>12</v>
      </c>
      <c r="EW31" s="88">
        <f t="shared" ref="EW31" si="742">IFERROR(IF(AND($E32="H",V31&lt;&gt;""),IF(OR(LEFT(V31,1)="T",LEFT(V31,1)="S",LEFT(V31,1)="A",LEFT(V31,1)="F",LEFT(V31,1)="C"),LEFT(V31,1),"R"),EW$18),"")</f>
        <v>13</v>
      </c>
      <c r="EX31" s="88">
        <f t="shared" ref="EX31" si="743">IFERROR(IF(AND($E32="H",W31&lt;&gt;""),IF(OR(LEFT(W31,1)="T",LEFT(W31,1)="S",LEFT(W31,1)="A",LEFT(W31,1)="F",LEFT(W31,1)="C"),LEFT(W31,1),"R"),EX$18),"")</f>
        <v>14</v>
      </c>
      <c r="EY31" s="88">
        <f t="shared" ref="EY31" si="744">IFERROR(IF(AND($E32="H",X31&lt;&gt;""),IF(OR(LEFT(X31,1)="T",LEFT(X31,1)="S",LEFT(X31,1)="A",LEFT(X31,1)="F",LEFT(X31,1)="C"),LEFT(X31,1),"R"),EY$18),"")</f>
        <v>15</v>
      </c>
      <c r="EZ31" s="88">
        <f t="shared" ref="EZ31" si="745">IFERROR(IF(AND($E32="H",Y31&lt;&gt;""),IF(OR(LEFT(Y31,1)="T",LEFT(Y31,1)="S",LEFT(Y31,1)="A",LEFT(Y31,1)="F",LEFT(Y31,1)="C"),LEFT(Y31,1),"R"),EZ$18),"")</f>
        <v>16</v>
      </c>
      <c r="FA31" s="88">
        <f t="shared" ref="FA31" si="746">IFERROR(IF(AND($E32="H",Z31&lt;&gt;""),IF(OR(LEFT(Z31,1)="T",LEFT(Z31,1)="S",LEFT(Z31,1)="A",LEFT(Z31,1)="F",LEFT(Z31,1)="C"),LEFT(Z31,1),"R"),FA$18),"")</f>
        <v>17</v>
      </c>
      <c r="FB31" s="88">
        <f t="shared" ref="FB31" si="747">IFERROR(IF(AND($E32="H",AA31&lt;&gt;""),IF(OR(LEFT(AA31,1)="T",LEFT(AA31,1)="S",LEFT(AA31,1)="A",LEFT(AA31,1)="F",LEFT(AA31,1)="C"),LEFT(AA31,1),"R"),FB$18),"")</f>
        <v>18</v>
      </c>
      <c r="FC31" s="88">
        <f t="shared" ref="FC31" si="748">IFERROR(IF(AND($E32="H",AB31&lt;&gt;""),IF(OR(LEFT(AB31,1)="T",LEFT(AB31,1)="S",LEFT(AB31,1)="A",LEFT(AB31,1)="F",LEFT(AB31,1)="C"),LEFT(AB31,1),"R"),FC$18),"")</f>
        <v>19</v>
      </c>
      <c r="FD31" s="88">
        <f t="shared" ref="FD31" si="749">IFERROR(IF(AND($E32="H",AC31&lt;&gt;""),IF(OR(LEFT(AC31,1)="T",LEFT(AC31,1)="S",LEFT(AC31,1)="A",LEFT(AC31,1)="F",LEFT(AC31,1)="C"),LEFT(AC31,1),"R"),FD$18),"")</f>
        <v>20</v>
      </c>
      <c r="FE31" s="88">
        <f t="shared" ref="FE31" si="750">IFERROR(IF(AND($E32="H",AD31&lt;&gt;""),IF(OR(LEFT(AD31,1)="T",LEFT(AD31,1)="S",LEFT(AD31,1)="A",LEFT(AD31,1)="F",LEFT(AD31,1)="C"),LEFT(AD31,1),"R"),FE$18),"")</f>
        <v>21</v>
      </c>
      <c r="FF31" s="88">
        <f t="shared" ref="FF31" si="751">IFERROR(IF(AND($E32="H",AE31&lt;&gt;""),IF(OR(LEFT(AE31,1)="T",LEFT(AE31,1)="S",LEFT(AE31,1)="A",LEFT(AE31,1)="F",LEFT(AE31,1)="C"),LEFT(AE31,1),"R"),FF$18),"")</f>
        <v>22</v>
      </c>
      <c r="FG31" s="88">
        <f t="shared" ref="FG31" si="752">IFERROR(IF(AND($E32="H",AF31&lt;&gt;""),IF(OR(LEFT(AF31,1)="T",LEFT(AF31,1)="S",LEFT(AF31,1)="A",LEFT(AF31,1)="F",LEFT(AF31,1)="C"),LEFT(AF31,1),"R"),FG$18),"")</f>
        <v>23</v>
      </c>
      <c r="FH31" s="88">
        <f t="shared" ref="FH31" si="753">IFERROR(IF(AND($E32="H",AG31&lt;&gt;""),IF(OR(LEFT(AG31,1)="T",LEFT(AG31,1)="S",LEFT(AG31,1)="A",LEFT(AG31,1)="F",LEFT(AG31,1)="C"),LEFT(AG31,1),"R"),FH$18),"")</f>
        <v>24</v>
      </c>
      <c r="FI31" s="88">
        <f t="shared" ref="FI31" si="754">IFERROR(IF(AND($E32="H",AH31&lt;&gt;""),IF(OR(LEFT(AH31,1)="T",LEFT(AH31,1)="S",LEFT(AH31,1)="A",LEFT(AH31,1)="F",LEFT(AH31,1)="C"),LEFT(AH31,1),"R"),FI$18),"")</f>
        <v>25</v>
      </c>
      <c r="FJ31" s="88">
        <f t="shared" ref="FJ31" si="755">IFERROR(IF(AND($E32="H",AI31&lt;&gt;""),IF(OR(LEFT(AI31,1)="T",LEFT(AI31,1)="S",LEFT(AI31,1)="A",LEFT(AI31,1)="F",LEFT(AI31,1)="C"),LEFT(AI31,1),"R"),FJ$18),"")</f>
        <v>26</v>
      </c>
      <c r="FK31" s="88">
        <f t="shared" ref="FK31" si="756">IFERROR(IF(AND($E32="H",AJ31&lt;&gt;""),IF(OR(LEFT(AJ31,1)="T",LEFT(AJ31,1)="S",LEFT(AJ31,1)="A",LEFT(AJ31,1)="F",LEFT(AJ31,1)="C"),LEFT(AJ31,1),"R"),FK$18),"")</f>
        <v>27</v>
      </c>
      <c r="FL31" s="88">
        <f t="shared" ref="FL31" si="757">IFERROR(IF(AND($E32="H",AK31&lt;&gt;""),IF(OR(LEFT(AK31,1)="T",LEFT(AK31,1)="S",LEFT(AK31,1)="A",LEFT(AK31,1)="F",LEFT(AK31,1)="C"),LEFT(AK31,1),"R"),FL$18),"")</f>
        <v>28</v>
      </c>
      <c r="FM31" s="88">
        <f t="shared" ref="FM31" si="758">IFERROR(IF(AND($E32="H",AL31&lt;&gt;""),IF(OR(LEFT(AL31,1)="T",LEFT(AL31,1)="S",LEFT(AL31,1)="A",LEFT(AL31,1)="F",LEFT(AL31,1)="C"),LEFT(AL31,1),"R"),FM$18),"")</f>
        <v>29</v>
      </c>
      <c r="FN31" s="88">
        <f t="shared" ref="FN31" si="759">IFERROR(IF(AND($E32="H",AM31&lt;&gt;""),IF(OR(LEFT(AM31,1)="T",LEFT(AM31,1)="S",LEFT(AM31,1)="A",LEFT(AM31,1)="F",LEFT(AM31,1)="C"),LEFT(AM31,1),"R"),FN$18),"")</f>
        <v>30</v>
      </c>
      <c r="FO31" s="88"/>
      <c r="FP31" s="88"/>
      <c r="FQ31" s="88"/>
      <c r="FR31" s="285"/>
      <c r="FS31" s="285"/>
      <c r="FT31" s="285"/>
      <c r="FU31" s="285"/>
      <c r="FV31" s="285"/>
      <c r="FW31" s="285"/>
      <c r="FX31" s="285"/>
      <c r="FY31" s="285"/>
      <c r="FZ31" s="285"/>
      <c r="GA31" s="285"/>
      <c r="GB31" s="285"/>
      <c r="GC31" s="285"/>
      <c r="GD31" s="285"/>
      <c r="GE31" s="285"/>
      <c r="GF31" s="285"/>
      <c r="GG31" s="285"/>
      <c r="GH31" s="285"/>
      <c r="GI31" s="285"/>
      <c r="GJ31" s="285"/>
      <c r="GK31" s="285"/>
      <c r="GL31" s="285"/>
      <c r="GM31" s="285"/>
      <c r="GN31" s="285"/>
      <c r="GO31" s="285"/>
      <c r="GP31" s="285"/>
      <c r="GQ31" s="285"/>
      <c r="GR31" s="285"/>
      <c r="GS31" s="285"/>
      <c r="GT31" s="285"/>
      <c r="GU31" s="285"/>
      <c r="GV31" s="88"/>
      <c r="GW31" s="88">
        <f t="shared" ref="GW31" si="760">COUNTIF($EK31:$FN31,GW$18)</f>
        <v>0</v>
      </c>
      <c r="GX31" s="88">
        <f t="shared" si="29"/>
        <v>0</v>
      </c>
      <c r="GY31" s="88">
        <f t="shared" si="29"/>
        <v>0</v>
      </c>
      <c r="GZ31" s="88">
        <f t="shared" si="29"/>
        <v>0</v>
      </c>
      <c r="HA31" s="88">
        <f t="shared" si="29"/>
        <v>0</v>
      </c>
      <c r="HB31" s="88">
        <f t="shared" si="29"/>
        <v>0</v>
      </c>
      <c r="HC31" s="88"/>
      <c r="HD31" s="88" t="str">
        <f t="shared" ref="HD31" si="761">IF(AND($F31="Hybrid - Thrust + 2 connections",HD32=0,LEFT($J31,1)="C",LEFT($K31,1)="C",LEFT($L31,1)="C"),"X","")</f>
        <v/>
      </c>
      <c r="HE31" s="88"/>
      <c r="HF31" s="91"/>
      <c r="HG31" s="100"/>
      <c r="HH31" s="100"/>
      <c r="HI31" s="91" t="str">
        <f t="shared" ref="HI31" si="762">IF(E32=3,IF(_xlfn.NUMBERVALUE(LEFT(J31,1))&gt;0,_xlfn.NUMBERVALUE(LEFT(J31,1)),""),"")</f>
        <v/>
      </c>
      <c r="HK31" s="91" t="str">
        <f t="shared" ref="HK31" si="763">IF(OR(E32="B",E32="P"),E32,"")</f>
        <v/>
      </c>
      <c r="HL31" s="91" t="str">
        <f>IF(AND(J31&lt;&gt;"",HK31&lt;&gt;""),IF(HK31="B",MATCH(J31,AcroDD!$U$3:$AE$3,0),MATCH(J31,AcroDD!$U$30:$AC$30,0)),"")</f>
        <v/>
      </c>
      <c r="HM31" s="91" t="str">
        <f t="shared" ref="HM31" si="764">IF(AND(K31&lt;&gt;"",HK31&lt;&gt;""),K31,"")</f>
        <v/>
      </c>
      <c r="HN31" s="91" t="str">
        <f>_xlfn.LET(_xlpm.lista,IF(HK31="B",INDEX(AcroDD!$T$4:$AE$23,0,HL31+1),INDEX(AcroDD!$T$31:$AC$50,0,HL31+1)),IF(AND(OR(HK31="B",HK31="P"),HL31&lt;&gt;"",HM31&lt;&gt;""),IF(ISNUMBER(MATCH(HM31,_xlpm.lista,0)),"OK","X"),""))</f>
        <v/>
      </c>
    </row>
    <row r="32" spans="1:222" ht="12.75" customHeight="1" x14ac:dyDescent="0.35">
      <c r="A32" s="28"/>
      <c r="B32" s="29"/>
      <c r="C32" s="29"/>
      <c r="D32" s="29"/>
      <c r="E32" s="17" t="str">
        <f>IF(F31="Acrobatic - Pair","PA",IF(F31="Acrobatic Airborn","A",IF(F31="Acrobatic Balance","B",IF(F31="Acrobatic Combined","C",IF(F31="Acrobatic Platform","P",IF(F31="Technical Required Element",3,IF(LEFT(F31,4)="Hybr","H","")))))))</f>
        <v/>
      </c>
      <c r="F32" s="17" t="str">
        <f>IF(AND(F31="Hybrid - Thrust + 2 connections",CR31="X"),"Hybrid - Thrust",IF(OR(E32="A",E32="B",E32="C",E32="P"),"Acrobatic",""))</f>
        <v/>
      </c>
      <c r="G32" s="31"/>
      <c r="H32" s="182" t="str">
        <f t="shared" ref="H32" si="765">IF(E32="PA",IF(OR(LEFT(J31,1)="L",LEFT(J31,1)="S"),"A-Pair-Lift",IF(OR(LEFT(J31,1)="W",LEFT(J31,1)="T"),"A-Pair-Throw",IF(LEFT(J31,1)="J","A-Pair-Jump","A-Pair"))),IF(OR(E32="A",E32="B",E32="C",E32="P"),CONCATENATE("Acro-",E32),""))</f>
        <v/>
      </c>
      <c r="I32" s="176" t="e">
        <f>IF(OR(F31="Hybrid - Choreography (DD = 1)",LEFT(F31,5)="Trans"),0,INDEX($BY$3:$BY$9,MATCH(E32,$BX$3:$BX$9,0)))</f>
        <v>#N/A</v>
      </c>
      <c r="J32" s="171">
        <f ca="1">IFERROR(IF($H31="No DD",IF(J31="ChoHY",1,0),IF(OR(ISBLANK(J31),J31="N/A"),0,INDEX(INDIRECT(BI32),MATCH(J31,INDIRECT(BI31),0)))),0)</f>
        <v>0</v>
      </c>
      <c r="K32" s="171">
        <f t="shared" ref="K32:Y32" ca="1" si="766">IFERROR(IF($H31="No DD",0,IF(OR(ISBLANK(K31),K31="N/A"),0,INDEX(INDIRECT(BJ32),MATCH(K31,INDIRECT(BJ31),0)))),0)</f>
        <v>0</v>
      </c>
      <c r="L32" s="171">
        <f t="shared" ca="1" si="766"/>
        <v>0</v>
      </c>
      <c r="M32" s="171">
        <f t="shared" ca="1" si="766"/>
        <v>0</v>
      </c>
      <c r="N32" s="171">
        <f t="shared" ca="1" si="766"/>
        <v>0</v>
      </c>
      <c r="O32" s="171">
        <f t="shared" ca="1" si="766"/>
        <v>0</v>
      </c>
      <c r="P32" s="171">
        <f t="shared" ca="1" si="766"/>
        <v>0</v>
      </c>
      <c r="Q32" s="171">
        <f t="shared" ca="1" si="766"/>
        <v>0</v>
      </c>
      <c r="R32" s="171">
        <f t="shared" ca="1" si="766"/>
        <v>0</v>
      </c>
      <c r="S32" s="171">
        <f t="shared" ca="1" si="766"/>
        <v>0</v>
      </c>
      <c r="T32" s="171">
        <f t="shared" ca="1" si="766"/>
        <v>0</v>
      </c>
      <c r="U32" s="171">
        <f t="shared" ca="1" si="766"/>
        <v>0</v>
      </c>
      <c r="V32" s="171">
        <f t="shared" ca="1" si="766"/>
        <v>0</v>
      </c>
      <c r="W32" s="171">
        <f t="shared" ca="1" si="766"/>
        <v>0</v>
      </c>
      <c r="X32" s="171">
        <f t="shared" ca="1" si="766"/>
        <v>0</v>
      </c>
      <c r="Y32" s="171">
        <f t="shared" ca="1" si="766"/>
        <v>0</v>
      </c>
      <c r="Z32" s="171">
        <f t="shared" ref="Z32" ca="1" si="767">IFERROR(IF($H31="No DD",0,IF(OR(ISBLANK(Z31),Z31="N/A"),0,INDEX(INDIRECT(BY32),MATCH(Z31,INDIRECT(BY31),0)))),0)</f>
        <v>0</v>
      </c>
      <c r="AA32" s="171">
        <f t="shared" ref="AA32" ca="1" si="768">IFERROR(IF($H31="No DD",0,IF(OR(ISBLANK(AA31),AA31="N/A"),0,INDEX(INDIRECT(BZ32),MATCH(AA31,INDIRECT(BZ31),0)))),0)</f>
        <v>0</v>
      </c>
      <c r="AB32" s="171">
        <f t="shared" ref="AB32" ca="1" si="769">IFERROR(IF($H31="No DD",0,IF(OR(ISBLANK(AB31),AB31="N/A"),0,INDEX(INDIRECT(CA32),MATCH(AB31,INDIRECT(CA31),0)))),0)</f>
        <v>0</v>
      </c>
      <c r="AC32" s="171">
        <f t="shared" ref="AC32" ca="1" si="770">IFERROR(IF($H31="No DD",0,IF(OR(ISBLANK(AC31),AC31="N/A"),0,INDEX(INDIRECT(CB32),MATCH(AC31,INDIRECT(CB31),0)))),0)</f>
        <v>0</v>
      </c>
      <c r="AD32" s="171">
        <f t="shared" ref="AD32" ca="1" si="771">IFERROR(IF($H31="No DD",0,IF(OR(ISBLANK(AD31),AD31="N/A"),0,INDEX(INDIRECT(CC32),MATCH(AD31,INDIRECT(CC31),0)))),0)</f>
        <v>0</v>
      </c>
      <c r="AE32" s="171">
        <f t="shared" ref="AE32" ca="1" si="772">IFERROR(IF($H31="No DD",0,IF(OR(ISBLANK(AE31),AE31="N/A"),0,INDEX(INDIRECT(CD32),MATCH(AE31,INDIRECT(CD31),0)))),0)</f>
        <v>0</v>
      </c>
      <c r="AF32" s="171">
        <f t="shared" ref="AF32" ca="1" si="773">IFERROR(IF($H31="No DD",0,IF(OR(ISBLANK(AF31),AF31="N/A"),0,INDEX(INDIRECT(CE32),MATCH(AF31,INDIRECT(CE31),0)))),0)</f>
        <v>0</v>
      </c>
      <c r="AG32" s="171">
        <f t="shared" ref="AG32" ca="1" si="774">IFERROR(IF($H31="No DD",0,IF(OR(ISBLANK(AG31),AG31="N/A"),0,INDEX(INDIRECT(CF32),MATCH(AG31,INDIRECT(CF31),0)))),0)</f>
        <v>0</v>
      </c>
      <c r="AH32" s="171">
        <f t="shared" ref="AH32" ca="1" si="775">IFERROR(IF($H31="No DD",0,IF(OR(ISBLANK(AH31),AH31="N/A"),0,INDEX(INDIRECT(CG32),MATCH(AH31,INDIRECT(CG31),0)))),0)</f>
        <v>0</v>
      </c>
      <c r="AI32" s="171">
        <f t="shared" ref="AI32" ca="1" si="776">IFERROR(IF($H31="No DD",0,IF(OR(ISBLANK(AI31),AI31="N/A"),0,INDEX(INDIRECT(CH32),MATCH(AI31,INDIRECT(CH31),0)))),0)</f>
        <v>0</v>
      </c>
      <c r="AJ32" s="171">
        <f t="shared" ref="AJ32" ca="1" si="777">IFERROR(IF($H31="No DD",0,IF(OR(ISBLANK(AJ31),AJ31="N/A"),0,INDEX(INDIRECT(CI32),MATCH(AJ31,INDIRECT(CI31),0)))),0)</f>
        <v>0</v>
      </c>
      <c r="AK32" s="171">
        <f t="shared" ref="AK32" ca="1" si="778">IFERROR(IF($H31="No DD",0,IF(OR(ISBLANK(AK31),AK31="N/A"),0,INDEX(INDIRECT(CJ32),MATCH(AK31,INDIRECT(CJ31),0)))),0)</f>
        <v>0</v>
      </c>
      <c r="AL32" s="171">
        <f t="shared" ref="AL32" ca="1" si="779">IFERROR(IF($H31="No DD",0,IF(OR(ISBLANK(AL31),AL31="N/A"),0,INDEX(INDIRECT(CK32),MATCH(AL31,INDIRECT(CK31),0)))),0)</f>
        <v>0</v>
      </c>
      <c r="AM32" s="171">
        <f t="shared" ref="AM32" ca="1" si="780">IFERROR(IF($H31="No DD",0,IF(OR(ISBLANK(AM31),AM31="N/A"),0,INDEX(INDIRECT(CL32),MATCH(AM31,INDIRECT(CL31),0)))),0)</f>
        <v>0</v>
      </c>
      <c r="AN32" s="172" t="str">
        <f>IFERROR(IF(E32="H",INDEX(HybridBonus_Value,MATCH(AN31,HybridBonus_Code,0)),""),"")</f>
        <v/>
      </c>
      <c r="AO32" s="276" t="str">
        <f t="shared" ref="AO32" si="781">IFERROR(SUM(I32:AN32),"")</f>
        <v/>
      </c>
      <c r="AP32" s="62"/>
      <c r="AQ32" s="62"/>
      <c r="AR32" s="101"/>
      <c r="AS32" s="101"/>
      <c r="AT32" s="101"/>
      <c r="AU32" s="101"/>
      <c r="AV32" s="101"/>
      <c r="BA32" s="90"/>
      <c r="BB32" s="101"/>
      <c r="BC32" s="101"/>
      <c r="BD32" s="101"/>
      <c r="BE32" s="101"/>
      <c r="BF32" s="101"/>
      <c r="BG32" s="90"/>
      <c r="BH32" s="101"/>
      <c r="BI32" s="91" t="str">
        <f t="shared" ref="BI32" si="782">IF($E32="H",IF($F31="Hybrid - Thrust + 2 connections","Hybrid_Mix_Req_Value","HybridDD_Value"),IF($E32=3,"TreDD_Value",IF($E32="PA","AcroPair_Value",IF(LEFT($F31,4)="Acro",CONCATENATE(BI$16,$E32,"_Value"),""))))</f>
        <v/>
      </c>
      <c r="BJ32" s="91" t="str">
        <f t="shared" ref="BJ32" si="783">IF($E32="H",IF($F31="Hybrid - Thrust + 2 connections","Hybrid_Mix_Req_Value","HybridDD_Value"),IF($E32=3,"TreDD_Value",IF($E32="PA","AcroPair_Value",IF(LEFT($F31,4)="Acro",CONCATENATE(BJ$16,$E32,"_Value"),""))))</f>
        <v/>
      </c>
      <c r="BK32" s="91" t="str">
        <f t="shared" ref="BK32" si="784">IF($E32="H",IF($F31="Hybrid - Thrust + 2 connections","Hybrid_Mix_Req_Value","HybridDD_Value"),IF($E32=3,"TreDD_Value",IF($E32="PA","AcroPair_Value",IF(LEFT($F31,4)="Acro",CONCATENATE(BK$16,$E32,"_Value"),""))))</f>
        <v/>
      </c>
      <c r="BL32" s="91" t="str">
        <f t="shared" ref="BL32" si="785">IF($E32="H",IF($F31="Hybrid - Thrust + 2 connections","Hybrid_Mix_Req_Value","HybridDD_Value"),IF($E32=3,"TreDD_Value",IF($E32="PA","AcroPair_Value",IF(LEFT($F31,4)="Acro",CONCATENATE(BL$16,$E32,"_Value"),""))))</f>
        <v/>
      </c>
      <c r="BM32" s="91" t="str">
        <f t="shared" ref="BM32" si="786">IF($E32="H",IF($F31="Hybrid - Thrust + 2 connections","Hybrid_Mix_Req_Value","HybridDD_Value"),IF($E32=3,"TreDD_Value",IF($E32="PA","AcroPair_Value",IF(LEFT($F31,4)="Acro",CONCATENATE(BM$16,$E32,"_Value"),""))))</f>
        <v/>
      </c>
      <c r="BN32" s="91" t="str">
        <f t="shared" ref="BN32" si="787">IF($E32="H",IF($F31="Hybrid - Thrust + 2 connections","Hybrid_Mix_Req_Value","HybridDD_Value"),IF($E32=3,"TreDD_Value",IF($E32="PA","AcroPair_Value",IF(LEFT($F31,4)="Acro",CONCATENATE(BN$16,$E32,"_Value"),""))))</f>
        <v/>
      </c>
      <c r="BO32" s="91" t="str">
        <f t="shared" ref="BO32" si="788">IF($E32="H",IF($F31="Hybrid - Thrust + 2 connections","Hybrid_Mix_Req_Value","HybridDD_Value"),IF($E32=3,"TreDD_Value",IF($E32="PA","AcroPair_Value",IF(LEFT($F31,4)="Acro",CONCATENATE(BO$16,$E32,"_Value"),""))))</f>
        <v/>
      </c>
      <c r="BP32" s="91" t="str">
        <f t="shared" ref="BP32" si="789">IF($E32="H",IF($F31="Hybrid - Thrust + 2 connections","Hybrid_Mix_Req_Value","HybridDD_Value"),IF($E32=3,"TreDD_Value",IF($E32="PA","AcroPair_Value",IF(LEFT($F31,4)="Acro",CONCATENATE(BP$16,$E32,"_Value"),""))))</f>
        <v/>
      </c>
      <c r="BQ32" s="91" t="str">
        <f t="shared" ref="BQ32" si="790">IF($E32="H",IF($F31="Hybrid - Thrust + 2 connections","Hybrid_Mix_Req_Value","HybridDD_Value"),IF($E32=3,"TreDD_Value",IF($E32="PA","AcroPair_Value",IF(LEFT($F31,4)="Acro",CONCATENATE(BQ$16,$E32,"_Value"),""))))</f>
        <v/>
      </c>
      <c r="BR32" s="90" t="str">
        <f t="shared" ref="BR32" si="791">IF($E32="H",IF($F31="Hybrid - Thrust + 2 connections","Data!$BI$1:$BI$5","HybridDD_Value"),"Data!$BI$1:$BI$5")</f>
        <v>Data!$BI$1:$BI$5</v>
      </c>
      <c r="BS32" s="90" t="str">
        <f t="shared" ref="BS32" si="792">IF($E32="H",IF($F31="Hybrid - Thrust + 2 connections","Data!$BI$1:$BI$5","HybridDD_Value"),"Data!$BI$1:$BI$5")</f>
        <v>Data!$BI$1:$BI$5</v>
      </c>
      <c r="BT32" s="90" t="str">
        <f t="shared" ref="BT32" si="793">IF($E32="H",IF($F31="Hybrid - Thrust + 2 connections","Data!$BI$1:$BI$5","HybridDD_Value"),"Data!$BI$1:$BI$5")</f>
        <v>Data!$BI$1:$BI$5</v>
      </c>
      <c r="BU32" s="90" t="str">
        <f t="shared" ref="BU32" si="794">IF($E32="H",IF($F31="Hybrid - Thrust + 2 connections","Data!$BI$1:$BI$5","HybridDD_Value"),"Data!$BI$1:$BI$5")</f>
        <v>Data!$BI$1:$BI$5</v>
      </c>
      <c r="BV32" s="90" t="str">
        <f t="shared" ref="BV32" si="795">IF($E32="H",IF($F31="Hybrid - Thrust + 2 connections","Data!$BI$1:$BI$5","HybridDD_Value"),"Data!$BI$1:$BI$5")</f>
        <v>Data!$BI$1:$BI$5</v>
      </c>
      <c r="BW32" s="90" t="str">
        <f t="shared" ref="BW32" si="796">IF($E32="H",IF($F31="Hybrid - Thrust + 2 connections","Data!$BI$1:$BI$5","HybridDD_Value"),"Data!$BI$1:$BI$5")</f>
        <v>Data!$BI$1:$BI$5</v>
      </c>
      <c r="BX32" s="90" t="str">
        <f t="shared" ref="BX32" si="797">IF($E32="H",IF($F31="Hybrid - Thrust + 2 connections","Data!$BI$1:$BI$5","HybridDD_Value"),"Data!$BI$1:$BI$5")</f>
        <v>Data!$BI$1:$BI$5</v>
      </c>
      <c r="BY32" s="90" t="str">
        <f t="shared" ref="BY32" si="798">IF($E32="H",IF($F31="Hybrid - Thrust + 2 connections","Data!$BI$1:$BI$5","HybridDD_Value"),"Data!$BI$1:$BI$5")</f>
        <v>Data!$BI$1:$BI$5</v>
      </c>
      <c r="BZ32" s="90" t="str">
        <f t="shared" ref="BZ32" si="799">IF($E32="H",IF($F31="Hybrid - Thrust + 2 connections","Data!$BI$1:$BI$5","HybridDD_Value"),"Data!$BI$1:$BI$5")</f>
        <v>Data!$BI$1:$BI$5</v>
      </c>
      <c r="CA32" s="90" t="str">
        <f t="shared" ref="CA32" si="800">IF($E32="H",IF($F31="Hybrid - Thrust + 2 connections","Data!$BI$1:$BI$5","HybridDD_Value"),"Data!$BI$1:$BI$5")</f>
        <v>Data!$BI$1:$BI$5</v>
      </c>
      <c r="CB32" s="90" t="str">
        <f t="shared" ref="CB32" si="801">IF($E32="H",IF($F31="Hybrid - Thrust + 2 connections","Data!$BI$1:$BI$5","HybridDD_Value"),"Data!$BI$1:$BI$5")</f>
        <v>Data!$BI$1:$BI$5</v>
      </c>
      <c r="CC32" s="90" t="str">
        <f t="shared" ref="CC32" si="802">IF($E32="H",IF($F31="Hybrid - Thrust + 2 connections","Data!$BI$1:$BI$5","HybridDD_Value"),"Data!$BI$1:$BI$5")</f>
        <v>Data!$BI$1:$BI$5</v>
      </c>
      <c r="CD32" s="90" t="str">
        <f t="shared" ref="CD32" si="803">IF($E32="H",IF($F31="Hybrid - Thrust + 2 connections","Data!$BI$1:$BI$5","HybridDD_Value"),"Data!$BI$1:$BI$5")</f>
        <v>Data!$BI$1:$BI$5</v>
      </c>
      <c r="CE32" s="90" t="str">
        <f t="shared" ref="CE32" si="804">IF($E32="H",IF($F31="Hybrid - Thrust + 2 connections","Data!$BI$1:$BI$5","HybridDD_Value"),"Data!$BI$1:$BI$5")</f>
        <v>Data!$BI$1:$BI$5</v>
      </c>
      <c r="CF32" s="90" t="str">
        <f t="shared" ref="CF32" si="805">IF($E32="H",IF($F31="Hybrid - Thrust + 2 connections","Data!$BI$1:$BI$5","HybridDD_Value"),"Data!$BI$1:$BI$5")</f>
        <v>Data!$BI$1:$BI$5</v>
      </c>
      <c r="CG32" s="90" t="str">
        <f t="shared" ref="CG32" si="806">IF($E32="H",IF($F31="Hybrid - Thrust + 2 connections","Data!$BI$1:$BI$5","HybridDD_Value"),"Data!$BI$1:$BI$5")</f>
        <v>Data!$BI$1:$BI$5</v>
      </c>
      <c r="CH32" s="90" t="str">
        <f t="shared" ref="CH32" si="807">IF($E32="H",IF($F31="Hybrid - Thrust + 2 connections","Data!$BI$1:$BI$5","HybridDD_Value"),"Data!$BI$1:$BI$5")</f>
        <v>Data!$BI$1:$BI$5</v>
      </c>
      <c r="CI32" s="90" t="str">
        <f t="shared" ref="CI32" si="808">IF($E32="H",IF($F31="Hybrid - Thrust + 2 connections","Data!$BI$1:$BI$5","HybridDD_Value"),"Data!$BI$1:$BI$5")</f>
        <v>Data!$BI$1:$BI$5</v>
      </c>
      <c r="CJ32" s="90" t="str">
        <f t="shared" ref="CJ32" si="809">IF($E32="H",IF($F31="Hybrid - Thrust + 2 connections","Data!$BI$1:$BI$5","HybridDD_Value"),"Data!$BI$1:$BI$5")</f>
        <v>Data!$BI$1:$BI$5</v>
      </c>
      <c r="CK32" s="90" t="str">
        <f t="shared" ref="CK32" si="810">IF($E32="H",IF($F31="Hybrid - Thrust + 2 connections","Data!$BI$1:$BI$5","HybridDD_Value"),"Data!$BI$1:$BI$5")</f>
        <v>Data!$BI$1:$BI$5</v>
      </c>
      <c r="CL32" s="90" t="str">
        <f t="shared" ref="CL32" si="811">IF($E32="H",IF($F31="Hybrid - Thrust + 2 connections","Data!$BI$1:$BI$5","HybridDD_Value"),"Data!$BI$1:$BI$5")</f>
        <v>Data!$BI$1:$BI$5</v>
      </c>
      <c r="CM32" s="101"/>
      <c r="CN32" s="101"/>
      <c r="CO32" s="102" t="str">
        <f>IFERROR(IF(AND($BV$6="T",$BV$8="T",LEFT(F31,4)="Acro",AO32&gt;3),"X",IF($N$7="X",IF(AND(E32="C",AO32&gt;$CN$6),"X",IF(AND(E32="A",AO32&gt;$CN$4),"X",IF(AND(E32="B",AO32&gt;$CN$5),"X",IF(AND(E32="P",AO32&gt;$CN$7),"X","")))),"")),"")</f>
        <v/>
      </c>
      <c r="CP32" s="94"/>
      <c r="CQ32" s="91"/>
      <c r="CS32" s="91"/>
      <c r="CT32" s="91"/>
      <c r="CU32" s="91"/>
      <c r="CV32" s="91"/>
      <c r="CW32" s="91"/>
      <c r="CX32" s="91"/>
      <c r="CY32" s="91"/>
      <c r="CZ32" s="91"/>
      <c r="DD32" s="88" t="str">
        <f t="shared" si="10"/>
        <v/>
      </c>
      <c r="DE32" s="88" t="str">
        <f t="shared" si="11"/>
        <v/>
      </c>
      <c r="DF32" s="88" t="str">
        <f t="shared" si="12"/>
        <v/>
      </c>
      <c r="DG32" s="88" t="str">
        <f t="shared" si="13"/>
        <v/>
      </c>
      <c r="DO32" s="88">
        <v>14</v>
      </c>
      <c r="ED32" s="88" t="str">
        <f t="shared" si="14"/>
        <v/>
      </c>
      <c r="EE32" s="88" t="str">
        <f t="shared" si="15"/>
        <v/>
      </c>
      <c r="EI32" s="88" t="str" cm="1">
        <f t="array" ref="EI32">IFERROR(INDEX(EK32:FN32,MATCH(TRUE,INDEX((EK32:FN32&lt;&gt;""),),0)),"")</f>
        <v/>
      </c>
      <c r="EK32" s="88" t="str">
        <f t="shared" ref="EK32" si="812">IF(F31="Hybrid - Thrust + 2 connections",IF(COUNTIF($EK31:$FN31,EK31)&gt;1,EK31,""),IF(COUNTIF($EK31:$FN31,EK31)&gt;5,EK31,""))</f>
        <v/>
      </c>
      <c r="EL32" s="88" t="str">
        <f t="shared" ref="EL32" si="813">IF(G31="Hybrid - Thrust + 2 connections",IF(COUNTIF($EK31:$FN31,EL31)&gt;1,EL31,""),IF(COUNTIF($EK31:$FN31,EL31)&gt;5,EL31,""))</f>
        <v/>
      </c>
      <c r="EM32" s="88" t="str">
        <f t="shared" ref="EM32" si="814">IF(H31="Hybrid - Thrust + 2 connections",IF(COUNTIF($EK31:$FN31,EM31)&gt;1,EM31,""),IF(COUNTIF($EK31:$FN31,EM31)&gt;5,EM31,""))</f>
        <v/>
      </c>
      <c r="EN32" s="88" t="str">
        <f t="shared" ref="EN32" si="815">IF(I31="Hybrid - Thrust + 2 connections",IF(COUNTIF($EK31:$FN31,EN31)&gt;1,EN31,""),IF(COUNTIF($EK31:$FN31,EN31)&gt;5,EN31,""))</f>
        <v/>
      </c>
      <c r="EO32" s="88" t="str">
        <f t="shared" ref="EO32" si="816">IF(J31="Hybrid - Thrust + 2 connections",IF(COUNTIF($EK31:$FN31,EO31)&gt;1,EO31,""),IF(COUNTIF($EK31:$FN31,EO31)&gt;5,EO31,""))</f>
        <v/>
      </c>
      <c r="EP32" s="88" t="str">
        <f t="shared" ref="EP32" si="817">IF(K31="Hybrid - Thrust + 2 connections",IF(COUNTIF($EK31:$FN31,EP31)&gt;1,EP31,""),IF(COUNTIF($EK31:$FN31,EP31)&gt;5,EP31,""))</f>
        <v/>
      </c>
      <c r="EQ32" s="88" t="str">
        <f t="shared" ref="EQ32" si="818">IF(L31="Hybrid - Thrust + 2 connections",IF(COUNTIF($EK31:$FN31,EQ31)&gt;1,EQ31,""),IF(COUNTIF($EK31:$FN31,EQ31)&gt;5,EQ31,""))</f>
        <v/>
      </c>
      <c r="ER32" s="88" t="str">
        <f t="shared" ref="ER32" si="819">IF(M31="Hybrid - Thrust + 2 connections",IF(COUNTIF($EK31:$FN31,ER31)&gt;1,ER31,""),IF(COUNTIF($EK31:$FN31,ER31)&gt;5,ER31,""))</f>
        <v/>
      </c>
      <c r="ES32" s="88" t="str">
        <f t="shared" ref="ES32" si="820">IF(N31="Hybrid - Thrust + 2 connections",IF(COUNTIF($EK31:$FN31,ES31)&gt;1,ES31,""),IF(COUNTIF($EK31:$FN31,ES31)&gt;5,ES31,""))</f>
        <v/>
      </c>
      <c r="ET32" s="88" t="str">
        <f t="shared" ref="ET32" si="821">IF(O31="Hybrid - Thrust + 2 connections",IF(COUNTIF($EK31:$FN31,ET31)&gt;1,ET31,""),IF(COUNTIF($EK31:$FN31,ET31)&gt;5,ET31,""))</f>
        <v/>
      </c>
      <c r="EU32" s="88" t="str">
        <f t="shared" ref="EU32" si="822">IF(P31="Hybrid - Thrust + 2 connections",IF(COUNTIF($EK31:$FN31,EU31)&gt;1,EU31,""),IF(COUNTIF($EK31:$FN31,EU31)&gt;5,EU31,""))</f>
        <v/>
      </c>
      <c r="EV32" s="88" t="str">
        <f t="shared" ref="EV32" si="823">IF(Q31="Hybrid - Thrust + 2 connections",IF(COUNTIF($EK31:$FN31,EV31)&gt;1,EV31,""),IF(COUNTIF($EK31:$FN31,EV31)&gt;5,EV31,""))</f>
        <v/>
      </c>
      <c r="EW32" s="88" t="str">
        <f t="shared" ref="EW32" si="824">IF(R31="Hybrid - Thrust + 2 connections",IF(COUNTIF($EK31:$FN31,EW31)&gt;1,EW31,""),IF(COUNTIF($EK31:$FN31,EW31)&gt;5,EW31,""))</f>
        <v/>
      </c>
      <c r="EX32" s="88" t="str">
        <f t="shared" ref="EX32" si="825">IF(S31="Hybrid - Thrust + 2 connections",IF(COUNTIF($EK31:$FN31,EX31)&gt;1,EX31,""),IF(COUNTIF($EK31:$FN31,EX31)&gt;5,EX31,""))</f>
        <v/>
      </c>
      <c r="EY32" s="88" t="str">
        <f t="shared" ref="EY32" si="826">IF(T31="Hybrid - Thrust + 2 connections",IF(COUNTIF($EK31:$FN31,EY31)&gt;1,EY31,""),IF(COUNTIF($EK31:$FN31,EY31)&gt;5,EY31,""))</f>
        <v/>
      </c>
      <c r="EZ32" s="88" t="str">
        <f t="shared" ref="EZ32" si="827">IF(U31="Hybrid - Thrust + 2 connections",IF(COUNTIF($EK31:$FN31,EZ31)&gt;1,EZ31,""),IF(COUNTIF($EK31:$FN31,EZ31)&gt;5,EZ31,""))</f>
        <v/>
      </c>
      <c r="FA32" s="88" t="str">
        <f t="shared" ref="FA32" si="828">IF(V31="Hybrid - Thrust + 2 connections",IF(COUNTIF($EK31:$FN31,FA31)&gt;1,FA31,""),IF(COUNTIF($EK31:$FN31,FA31)&gt;5,FA31,""))</f>
        <v/>
      </c>
      <c r="FB32" s="88" t="str">
        <f t="shared" ref="FB32" si="829">IF(W31="Hybrid - Thrust + 2 connections",IF(COUNTIF($EK31:$FN31,FB31)&gt;1,FB31,""),IF(COUNTIF($EK31:$FN31,FB31)&gt;5,FB31,""))</f>
        <v/>
      </c>
      <c r="FC32" s="88" t="str">
        <f t="shared" ref="FC32" si="830">IF(X31="Hybrid - Thrust + 2 connections",IF(COUNTIF($EK31:$FN31,FC31)&gt;1,FC31,""),IF(COUNTIF($EK31:$FN31,FC31)&gt;5,FC31,""))</f>
        <v/>
      </c>
      <c r="FD32" s="88" t="str">
        <f t="shared" ref="FD32" si="831">IF(Y31="Hybrid - Thrust + 2 connections",IF(COUNTIF($EK31:$FN31,FD31)&gt;1,FD31,""),IF(COUNTIF($EK31:$FN31,FD31)&gt;5,FD31,""))</f>
        <v/>
      </c>
      <c r="FE32" s="88" t="str">
        <f t="shared" ref="FE32" si="832">IF(Z31="Hybrid - Thrust + 2 connections",IF(COUNTIF($EK31:$FN31,FE31)&gt;1,FE31,""),IF(COUNTIF($EK31:$FN31,FE31)&gt;5,FE31,""))</f>
        <v/>
      </c>
      <c r="FF32" s="88" t="str">
        <f t="shared" ref="FF32" si="833">IF(AA31="Hybrid - Thrust + 2 connections",IF(COUNTIF($EK31:$FN31,FF31)&gt;1,FF31,""),IF(COUNTIF($EK31:$FN31,FF31)&gt;5,FF31,""))</f>
        <v/>
      </c>
      <c r="FG32" s="88" t="str">
        <f t="shared" ref="FG32" si="834">IF(AB31="Hybrid - Thrust + 2 connections",IF(COUNTIF($EK31:$FN31,FG31)&gt;1,FG31,""),IF(COUNTIF($EK31:$FN31,FG31)&gt;5,FG31,""))</f>
        <v/>
      </c>
      <c r="FH32" s="88" t="str">
        <f t="shared" ref="FH32" si="835">IF(AC31="Hybrid - Thrust + 2 connections",IF(COUNTIF($EK31:$FN31,FH31)&gt;1,FH31,""),IF(COUNTIF($EK31:$FN31,FH31)&gt;5,FH31,""))</f>
        <v/>
      </c>
      <c r="FI32" s="88" t="str">
        <f t="shared" ref="FI32" si="836">IF(AD31="Hybrid - Thrust + 2 connections",IF(COUNTIF($EK31:$FN31,FI31)&gt;1,FI31,""),IF(COUNTIF($EK31:$FN31,FI31)&gt;5,FI31,""))</f>
        <v/>
      </c>
      <c r="FJ32" s="88" t="str">
        <f t="shared" ref="FJ32" si="837">IF(AE31="Hybrid - Thrust + 2 connections",IF(COUNTIF($EK31:$FN31,FJ31)&gt;1,FJ31,""),IF(COUNTIF($EK31:$FN31,FJ31)&gt;5,FJ31,""))</f>
        <v/>
      </c>
      <c r="FK32" s="88" t="str">
        <f t="shared" ref="FK32" si="838">IF(AF31="Hybrid - Thrust + 2 connections",IF(COUNTIF($EK31:$FN31,FK31)&gt;1,FK31,""),IF(COUNTIF($EK31:$FN31,FK31)&gt;5,FK31,""))</f>
        <v/>
      </c>
      <c r="FL32" s="88" t="str">
        <f t="shared" ref="FL32" si="839">IF(AG31="Hybrid - Thrust + 2 connections",IF(COUNTIF($EK31:$FN31,FL31)&gt;1,FL31,""),IF(COUNTIF($EK31:$FN31,FL31)&gt;5,FL31,""))</f>
        <v/>
      </c>
      <c r="FM32" s="88" t="str">
        <f t="shared" ref="FM32" si="840">IF(AH31="Hybrid - Thrust + 2 connections",IF(COUNTIF($EK31:$FN31,FM31)&gt;1,FM31,""),IF(COUNTIF($EK31:$FN31,FM31)&gt;5,FM31,""))</f>
        <v/>
      </c>
      <c r="FN32" s="88" t="str">
        <f t="shared" ref="FN32" si="841">IF(AI31="Hybrid - Thrust + 2 connections",IF(COUNTIF($EK31:$FN31,FN31)&gt;1,FN31,""),IF(COUNTIF($EK31:$FN31,FN31)&gt;5,FN31,""))</f>
        <v/>
      </c>
      <c r="FO32" s="88">
        <f t="shared" ref="FO32" si="842">FO30+5</f>
        <v>30</v>
      </c>
      <c r="FP32" s="88" t="str" cm="1">
        <f t="array" ref="FP32">IF(FQ32&lt;&gt;"",LEFT(FQ32,FIND("*",FQ32)-1),INDEX($FP$75:$FP$172,FO32+1))</f>
        <v/>
      </c>
      <c r="FQ32" s="88" t="str" cm="1">
        <f t="array" ref="FQ32">INDEX($FQ$75:$FQ$172,FO32+1)</f>
        <v/>
      </c>
      <c r="FR32" s="285"/>
      <c r="FS32" s="285"/>
      <c r="FT32" s="285"/>
      <c r="FU32" s="285"/>
      <c r="FV32" s="285"/>
      <c r="FW32" s="285"/>
      <c r="FX32" s="285"/>
      <c r="FY32" s="285"/>
      <c r="FZ32" s="285"/>
      <c r="GA32" s="285"/>
      <c r="GB32" s="285"/>
      <c r="GC32" s="285"/>
      <c r="GD32" s="285"/>
      <c r="GE32" s="285"/>
      <c r="GF32" s="285"/>
      <c r="GG32" s="285"/>
      <c r="GH32" s="285"/>
      <c r="GI32" s="285"/>
      <c r="GJ32" s="285"/>
      <c r="GK32" s="285"/>
      <c r="GL32" s="285"/>
      <c r="GM32" s="285"/>
      <c r="GN32" s="285"/>
      <c r="GO32" s="285"/>
      <c r="GP32" s="285"/>
      <c r="GQ32" s="285"/>
      <c r="GR32" s="285"/>
      <c r="GS32" s="285"/>
      <c r="GT32" s="285"/>
      <c r="GU32" s="285"/>
      <c r="GV32" s="88"/>
      <c r="GW32" s="88"/>
      <c r="GX32" s="88"/>
      <c r="GY32" s="88"/>
      <c r="GZ32" s="88"/>
      <c r="HA32" s="88"/>
      <c r="HB32" s="88"/>
      <c r="HC32" s="88"/>
      <c r="HD32" s="88" t="str">
        <f>IF($F31="Hybrid - Thrust + 2 connections",COUNTBLANK(J31:L31),"")</f>
        <v/>
      </c>
      <c r="HE32" s="88"/>
      <c r="HF32" s="91"/>
      <c r="HG32" s="91"/>
      <c r="HH32" s="91"/>
      <c r="HI32" s="91"/>
    </row>
    <row r="33" spans="1:222" ht="12.75" customHeight="1" x14ac:dyDescent="0.35">
      <c r="A33" s="28" t="str">
        <f>IF(AND(E31="",A31&lt;&gt;""),IF(CP31=$CP$18,"",IF(C31&lt;&gt;"",IF(D31=59,MINUTE(CP31)+1,MINUTE(CP31)),"")),"")</f>
        <v/>
      </c>
      <c r="B33" s="29" t="str">
        <f>IF(AND(E31="",B31&lt;&gt;""),IF(CP31=$CP$18,"",IF(C31&lt;&gt;"",IF(D31=59,0,SECOND(CP31)+1),"")),"")</f>
        <v/>
      </c>
      <c r="C33" s="39"/>
      <c r="D33" s="39"/>
      <c r="E33" s="9"/>
      <c r="F33" s="40"/>
      <c r="G33" s="31" t="str">
        <f>IF(F33&lt;&gt;"",IF(OR(F33="Transition",F33="Transition - Surface Connection"),0,MAX($G$19:G32)+1),"")</f>
        <v/>
      </c>
      <c r="H33" s="43" t="str">
        <f>IFERROR(IF(E34="3","",IF(OR(F33="Hybrid - Choreography (DD = 1)",LEFT(F33,5)="Trans"),"No DD",CONCATENATE("BM = ",I34))),"")</f>
        <v/>
      </c>
      <c r="I33" s="44"/>
      <c r="J33" s="109"/>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58"/>
      <c r="AO33" s="32"/>
      <c r="AP33" s="61"/>
      <c r="AQ33" s="61"/>
      <c r="AR33" s="90"/>
      <c r="AS33" s="90"/>
      <c r="AT33" s="90"/>
      <c r="AU33" s="90"/>
      <c r="AV33" s="90"/>
      <c r="AW33" s="91" t="str">
        <f t="shared" ref="AW33" si="843">E34</f>
        <v/>
      </c>
      <c r="AX33" s="94" t="str">
        <f t="shared" ref="AX33" si="844">IF(AY33=0,"",TIME(0,A33,B33))</f>
        <v/>
      </c>
      <c r="AY33" s="94">
        <f t="shared" ref="AY33" si="845">TIME(0,C33,D33)</f>
        <v>0</v>
      </c>
      <c r="AZ33" s="94" t="str">
        <f t="shared" ref="AZ33" si="846">IFERROR(AY33-AX33,"")</f>
        <v/>
      </c>
      <c r="BA33" s="237" t="str">
        <f t="shared" ref="BA33" si="847">IF($AX$17=0,"",IF(AND($C$10&lt;&gt;"",AW33="H",AZ33&gt;$AX$17),"X",""))</f>
        <v/>
      </c>
      <c r="BB33" s="90"/>
      <c r="BC33" s="90"/>
      <c r="BD33" s="90"/>
      <c r="BE33" s="90"/>
      <c r="BF33" s="90"/>
      <c r="BG33" s="90" t="str">
        <f>IFERROR(IF(F33&lt;&gt;"",INDEX(Parts_Active,MATCH(F33,Parts_Active,0)),""),"No")</f>
        <v/>
      </c>
      <c r="BH33" s="90"/>
      <c r="BI33" s="90" t="str">
        <f>IF($E34="H",IF($F33="Hybrid - Thrust + 2 connections","Hybrid_Mix_Req",IF($F33="Hybrid - Choreography (DD = 1)","Hybrid_ChoHY","HybridDD_Code")),IF($E34=3,"TreDD_Code",IF($E34="PA","AcroPair_Code",IF(LEFT($F33,4)="Acro",CONCATENATE(BI$16,$E34,"_Code"),"Data!$BI$1:$BI$5"))))</f>
        <v>Data!$BI$1:$BI$5</v>
      </c>
      <c r="BJ33" s="90" t="str">
        <f t="shared" ref="BJ33" si="848">IF($E34="H",IF($F33="Hybrid - Thrust + 2 connections","Hybrid_Mix_Req",IF($F33="Hybrid - min 4 swimmers (no DD)","Data!$BI$1:$BI$5","HybridDD_Code")),IF($E34=3,"TreDD_Code",IF($E34="PA","AcroPair_Code",IF(LEFT($F33,4)="Acro",CONCATENATE(BJ$16,$E34,"_Code"),"Data!$BI$1:$BI$5"))))</f>
        <v>Data!$BI$1:$BI$5</v>
      </c>
      <c r="BK33" s="90" t="str">
        <f t="shared" si="6"/>
        <v>Data!$BI$1:$BI$5</v>
      </c>
      <c r="BL33" s="90" t="str">
        <f t="shared" si="6"/>
        <v>Data!$BI$1:$BI$5</v>
      </c>
      <c r="BM33" s="90" t="str">
        <f t="shared" si="6"/>
        <v>Data!$BI$1:$BI$5</v>
      </c>
      <c r="BN33" s="90" t="str">
        <f t="shared" si="6"/>
        <v>Data!$BI$1:$BI$5</v>
      </c>
      <c r="BO33" s="90" t="str">
        <f t="shared" si="6"/>
        <v>Data!$BI$1:$BI$5</v>
      </c>
      <c r="BP33" s="90" t="str">
        <f t="shared" si="6"/>
        <v>Data!$BI$1:$BI$5</v>
      </c>
      <c r="BQ33" s="90" t="str">
        <f t="shared" si="6"/>
        <v>Data!$BI$1:$BI$5</v>
      </c>
      <c r="BR33" s="90" t="str">
        <f t="shared" ref="BR33" si="849">IF($E34="H",IF($F33="Hybrid - Thrust + 2 connections","Data!$BI$1:$BI$5","HybridDD_Code"),"Data!$BI$1:$BI$5")</f>
        <v>Data!$BI$1:$BI$5</v>
      </c>
      <c r="BS33" s="90" t="str">
        <f t="shared" si="445"/>
        <v>Data!$BI$1:$BI$5</v>
      </c>
      <c r="BT33" s="90" t="str">
        <f t="shared" si="445"/>
        <v>Data!$BI$1:$BI$5</v>
      </c>
      <c r="BU33" s="90" t="str">
        <f t="shared" si="445"/>
        <v>Data!$BI$1:$BI$5</v>
      </c>
      <c r="BV33" s="90" t="str">
        <f t="shared" si="445"/>
        <v>Data!$BI$1:$BI$5</v>
      </c>
      <c r="BW33" s="90" t="str">
        <f t="shared" si="445"/>
        <v>Data!$BI$1:$BI$5</v>
      </c>
      <c r="BX33" s="90" t="str">
        <f t="shared" si="445"/>
        <v>Data!$BI$1:$BI$5</v>
      </c>
      <c r="BY33" s="90" t="str">
        <f t="shared" si="445"/>
        <v>Data!$BI$1:$BI$5</v>
      </c>
      <c r="BZ33" s="90" t="str">
        <f t="shared" si="445"/>
        <v>Data!$BI$1:$BI$5</v>
      </c>
      <c r="CA33" s="90" t="str">
        <f t="shared" si="445"/>
        <v>Data!$BI$1:$BI$5</v>
      </c>
      <c r="CB33" s="90" t="str">
        <f t="shared" si="445"/>
        <v>Data!$BI$1:$BI$5</v>
      </c>
      <c r="CC33" s="90" t="str">
        <f t="shared" si="445"/>
        <v>Data!$BI$1:$BI$5</v>
      </c>
      <c r="CD33" s="90" t="str">
        <f t="shared" si="445"/>
        <v>Data!$BI$1:$BI$5</v>
      </c>
      <c r="CE33" s="90" t="str">
        <f t="shared" si="445"/>
        <v>Data!$BI$1:$BI$5</v>
      </c>
      <c r="CF33" s="90" t="str">
        <f t="shared" si="445"/>
        <v>Data!$BI$1:$BI$5</v>
      </c>
      <c r="CG33" s="90" t="str">
        <f t="shared" si="445"/>
        <v>Data!$BI$1:$BI$5</v>
      </c>
      <c r="CH33" s="90" t="str">
        <f t="shared" si="445"/>
        <v>Data!$BI$1:$BI$5</v>
      </c>
      <c r="CI33" s="90" t="str">
        <f t="shared" si="8"/>
        <v>Data!$BI$1:$BI$5</v>
      </c>
      <c r="CJ33" s="90" t="str">
        <f t="shared" si="8"/>
        <v>Data!$BI$1:$BI$5</v>
      </c>
      <c r="CK33" s="90" t="str">
        <f t="shared" si="8"/>
        <v>Data!$BI$1:$BI$5</v>
      </c>
      <c r="CL33" s="90" t="str">
        <f t="shared" si="8"/>
        <v>Data!$BI$1:$BI$5</v>
      </c>
      <c r="CM33" s="90"/>
      <c r="CN33" s="90"/>
      <c r="CO33" s="93" t="str">
        <f>IFERROR(TIME(0,A33,B33),"")</f>
        <v/>
      </c>
      <c r="CP33" s="94">
        <f>IFERROR(TIME(0,C33,D33),"")</f>
        <v>0</v>
      </c>
      <c r="CQ33" s="94" t="str">
        <f t="shared" ref="CQ33" si="850">IF(CP33&gt;$D$12,"X","")</f>
        <v/>
      </c>
      <c r="CR33" s="88" t="str">
        <f>IF(AND(F33="Hybrid - Thrust + 2 connections",OR(LEFT(J33,1)="T",LEFT(K33,1)="T",LEFT(L33,1)="T",LEFT(PB33,1)="T",LEFT(M33,1)="T",LEFT(N33,1)="T",LEFT(O33,1)="T",LEFT(P33,1)="T",LEFT(Q33,1)="T",LEFT(R33,1)="T",LEFT(S33,1)="T",LEFT(T33,1)="T",LEFT(U33,1)="T",LEFT(V33,1)="T",LEFT(W33,1)="T",LEFT(X33,1)="T",LEFT(AK33,1)="T",LEFT(AL33,1)="T",LEFT(AM33,1)="T")),IF(OR(LEN(J33)=2,LEN(K33)=2,LEN(L33)=2,LEN(M33)=2,LEN(N33)=2,LEN(O33)=2,LEN(P33)=2,LEN(Q33)=2,LEN(R33)=2,LEN(S33)=2,LEN(T33)=2,LEN(U33)=2,LEN(V33)=2,LEN(W33)=2,LEN(X33)=2,LEN(Y33)=2,LEN(Z33)=2,LEN(AK33)=2,LEN(AL33)=2,LEN(AM33)=2),"X",""),"")</f>
        <v/>
      </c>
      <c r="CS33" s="91"/>
      <c r="CT33" s="88" t="str">
        <f>IF(LEFT(F33,4)="Acro",IF(AND(N33&lt;&gt;"",M33=RIGHT(N33,2)),"X","OK"),"")</f>
        <v/>
      </c>
      <c r="CU33" s="90" t="str">
        <f t="shared" ref="CU33:DB33" si="851">IFERROR(IF(AND(LEFT($F33,4)="Acro",INDEX(Requ_App,MATCH(BI33,Requ_Code,0))="No"),"X",""),"")</f>
        <v/>
      </c>
      <c r="CV33" s="90" t="str">
        <f t="shared" si="851"/>
        <v/>
      </c>
      <c r="CW33" s="90" t="str">
        <f t="shared" si="851"/>
        <v/>
      </c>
      <c r="CX33" s="90" t="str">
        <f t="shared" si="851"/>
        <v/>
      </c>
      <c r="CY33" s="90" t="str">
        <f t="shared" si="851"/>
        <v/>
      </c>
      <c r="CZ33" s="90" t="str">
        <f t="shared" si="851"/>
        <v/>
      </c>
      <c r="DA33" s="90" t="str">
        <f t="shared" si="851"/>
        <v/>
      </c>
      <c r="DB33" s="90" t="str">
        <f t="shared" si="851"/>
        <v/>
      </c>
      <c r="DC33" s="90" t="str">
        <f>IFERROR(IF(AND(LEFT($F33,4)="Acro",INDEX(Requ_App,MATCH(BP33,Requ_Code,0))="No"),"X",""),"")</f>
        <v/>
      </c>
      <c r="DD33" s="88" t="str">
        <f t="shared" si="10"/>
        <v/>
      </c>
      <c r="DE33" s="88" t="str">
        <f t="shared" si="11"/>
        <v/>
      </c>
      <c r="DF33" s="88" t="str">
        <f t="shared" si="12"/>
        <v/>
      </c>
      <c r="DG33" s="88" t="str">
        <f t="shared" si="13"/>
        <v/>
      </c>
      <c r="DK33" s="88">
        <f t="shared" ref="DK33" si="852">IF(AND(E34="A",OR(Q33="Grip",Q33="Conn",Q33="Catch")),"A1",IF(AND(E34="A",OR(Q33="Hula",Q33="RetSq",Q33="RetPa")),"A2",IF(AND(E34="B",OR(Q33="Twirl",Q33="RotF")),"B1",IF(AND(E34="B",OR(Q33="Moon",Q33="Mov",Q33="Hold")),"B2",IF(AND(E34="P",OR(Q33="Porp",Q33="Splch")),"P1",IF(AND(E34="P",OR(Q33="Diva",Q33="Stand")),"P2",IF(AND(E34="P",OR(Q33="Spider",Q33="Climb")),"P3",IF(AND(E34="P",OR(Q33="Fall",Q33="FTurn")),"P4",IF(AND(E34="C",OR(Q33="Jump",Q33="Jump&gt;",Q33="On1Foot",Q33="1F&gt;1F")),"C1",IF(AND(E34="C",OR(Q33="Run",Q33="BRun")),"C2",1))))))))))</f>
        <v>1</v>
      </c>
      <c r="DL33" s="88">
        <f t="shared" ref="DL33" si="853">IF(AND(E34="A",OR(R33="Grip",R33="Conn",R33="Catch")),"A1",IF(AND(E34="A",OR(R33="Hula",R33="RetSq",R33="RetPa")),"A2",IF(AND(E34="B",OR(R33="Twirl",R33="RotF")),"B1",IF(AND(E34="B",OR(R33="Moon",R33="Mov",R33="Hold")),"B2",IF(AND(E34="P",OR(R33="Porp",R33="Spich")),"P1",IF(AND(E34="P",OR(R33="Diva",R33="Stand")),"P2",IF(AND(E34="P",OR(R33="Spider",R33="Climb")),"P3",IF(AND(E34="P",OR(R33="Fall",R33="FTurn")),"P4",IF(AND(E34="C",OR(R33="Jump",R33="Jump&gt;",R33="On1Foot",R33="1F&gt;1F")),"C1",IF(AND(E34="C",OR(R33="Run",R33="BRun")),"C2",2))))))))))</f>
        <v>2</v>
      </c>
      <c r="DM33" s="88" t="str">
        <f t="shared" ref="DM33" si="854">IF(AND(N33="",OR(Q33&lt;&gt;"",R33&lt;&gt;"")),"X",IF(AND(LEFT(F33,4)="Acro",Q33&lt;&gt;"",OR(Q33=R33,DK33=DL33)),IF(R33="C-Roll","","X"),IF(OR(AND(E34="A",Q33="Catch",R33&lt;&gt;"Dbl"),AND(E34="A",R33="Catch",Q33&lt;&gt;"Dbl")),"X","")))</f>
        <v/>
      </c>
      <c r="DN33" s="88" t="str">
        <f>IF(E34="PA",J33,"")</f>
        <v/>
      </c>
      <c r="DO33" s="88">
        <v>15</v>
      </c>
      <c r="DQ33" s="88" t="str">
        <f>IF(AND($E34="A",COUNTIF($DZ$19:$EA$68,DZ33)&gt;1),DZ33,"")</f>
        <v/>
      </c>
      <c r="DR33" s="88" t="str">
        <f>IF(AND($E34="A",COUNTIF($DZ$19:$EA$68,EA33)&gt;1),EA33,"")</f>
        <v/>
      </c>
      <c r="DS33" s="88" t="str">
        <f ca="1">IF(AND($E34="B",COUNTIF($J$19:$J$68,J33)&gt;1),J33,"")</f>
        <v/>
      </c>
      <c r="DT33" s="88" t="str">
        <f ca="1">IF(AND($E34="B",COUNTIF($K$19:$K$68,K33)&gt;1),K33,"")</f>
        <v/>
      </c>
      <c r="DU33" s="88" t="str">
        <f ca="1">IF(AND($E34="C",COUNTIF($J$19:$J$68,J33)&gt;1),J33,"")</f>
        <v/>
      </c>
      <c r="DV33" s="88" t="str">
        <f ca="1">IF(AND($E34="P",COUNTIF($J$19:$J$68,J33)&gt;1),J33,"")</f>
        <v/>
      </c>
      <c r="DW33" s="88" t="str">
        <f ca="1">IF(AND($E34="P",COUNTIF($K$19:$K$68,K33)&gt;1),K33,"")</f>
        <v/>
      </c>
      <c r="DX33" s="88" t="str">
        <f>IF(AND($E34="P",COUNTIF($DZ$19:$EA$68,DZ33)&gt;1),DZ33,"")</f>
        <v/>
      </c>
      <c r="DY33" s="88" t="str">
        <f>IF(AND($E34="P",COUNTIF($DZ$19:$EA$68,EA33)&gt;1),EA33,"")</f>
        <v/>
      </c>
      <c r="DZ33" s="88" t="str">
        <f>IFERROR(IF(OR(E34="A",E34="P"),M33,""),"")</f>
        <v/>
      </c>
      <c r="EA33" s="88" t="str">
        <f>IFERROR(IF(OR(E34="A",E34="P"),RIGHT(N33,2),""),"")</f>
        <v/>
      </c>
      <c r="EB33" s="88" t="str">
        <f t="shared" ref="EB33" si="855">IF(Q33="","",IF(AND($E34="P",COUNTIF($Q$19:$R$68,Q33)&gt;1),Q33,""))</f>
        <v/>
      </c>
      <c r="EC33" s="88" t="str">
        <f t="shared" ref="EC33" si="856">IF(R33="","",IF(AND($E34="P",COUNTIF($Q$19:$R$68,R33)&gt;1),R33,""))</f>
        <v/>
      </c>
      <c r="ED33" s="88" t="str">
        <f t="shared" si="14"/>
        <v/>
      </c>
      <c r="EE33" s="88" t="str">
        <f t="shared" si="15"/>
        <v/>
      </c>
      <c r="EF33" s="88" t="str">
        <f t="shared" ref="EF33" si="857">IF(AND(OR($F$8="Open Team Acrobatic",$F$8="Open Team Technical"),LEFT(F33,4)="Acro"),E34,"")</f>
        <v/>
      </c>
      <c r="EG33" s="88" t="str">
        <f t="shared" ref="EG33" si="858">IF(EF33="","",IFERROR(IF($F$8="Open Team Acrobatic",IF(HLOOKUP(EF33,$DQ$12:$DT$13,2,FALSE)&gt;2,"X",""),IF(HLOOKUP(EF33,$DQ$12:$DT$13,2,FALSE)&gt;1,"X","")),""))</f>
        <v/>
      </c>
      <c r="EI33" s="88" t="str">
        <f t="shared" ref="EI33" si="859">IF(OR(AND(F33="Hybrid - Thrust + 2 connections",EI34="T"),AND(E34="H",EI34&lt;&gt;"",EI87="X")),"X","")</f>
        <v/>
      </c>
      <c r="EK33" s="88">
        <f t="shared" ref="EK33" si="860">IFERROR(IF(AND($E34="H",J33&lt;&gt;"",J33&lt;&gt;"ChoHY"),IF(OR(LEFT(J33,1)="T",LEFT(J33,1)="S",LEFT(J33,1)="A",LEFT(J33,1)="F",LEFT(J33,1)="C"),LEFT(J33,1),"R"),EK$18),"")</f>
        <v>1</v>
      </c>
      <c r="EL33" s="88">
        <f t="shared" ref="EL33" si="861">IFERROR(IF(AND($E34="H",K33&lt;&gt;""),IF(OR(LEFT(K33,1)="T",LEFT(K33,1)="S",LEFT(K33,1)="A",LEFT(K33,1)="F",LEFT(K33,1)="C"),LEFT(K33,1),"R"),EL$18),"")</f>
        <v>2</v>
      </c>
      <c r="EM33" s="88">
        <f t="shared" ref="EM33" si="862">IFERROR(IF(AND($E34="H",L33&lt;&gt;""),IF(OR(LEFT(L33,1)="T",LEFT(L33,1)="S",LEFT(L33,1)="A",LEFT(L33,1)="F",LEFT(L33,1)="C"),LEFT(L33,1),"R"),EM$18),"")</f>
        <v>3</v>
      </c>
      <c r="EN33" s="88">
        <f t="shared" ref="EN33" si="863">IFERROR(IF(AND($E34="H",M33&lt;&gt;""),IF(OR(LEFT(M33,1)="T",LEFT(M33,1)="S",LEFT(M33,1)="A",LEFT(M33,1)="F",LEFT(M33,1)="C"),LEFT(M33,1),"R"),EN$18),"")</f>
        <v>4</v>
      </c>
      <c r="EO33" s="88">
        <f t="shared" ref="EO33" si="864">IFERROR(IF(AND($E34="H",N33&lt;&gt;""),IF(OR(LEFT(N33,1)="T",LEFT(N33,1)="S",LEFT(N33,1)="A",LEFT(N33,1)="F",LEFT(N33,1)="C"),LEFT(N33,1),"R"),EO$18),"")</f>
        <v>5</v>
      </c>
      <c r="EP33" s="88">
        <f t="shared" ref="EP33" si="865">IFERROR(IF(AND($E34="H",O33&lt;&gt;""),IF(OR(LEFT(O33,1)="T",LEFT(O33,1)="S",LEFT(O33,1)="A",LEFT(O33,1)="F",LEFT(O33,1)="C"),LEFT(O33,1),"R"),EP$18),"")</f>
        <v>6</v>
      </c>
      <c r="EQ33" s="88">
        <f t="shared" ref="EQ33" si="866">IFERROR(IF(AND($E34="H",P33&lt;&gt;""),IF(OR(LEFT(P33,1)="T",LEFT(P33,1)="S",LEFT(P33,1)="A",LEFT(P33,1)="F",LEFT(P33,1)="C"),LEFT(P33,1),"R"),EQ$18),"")</f>
        <v>7</v>
      </c>
      <c r="ER33" s="88">
        <f t="shared" ref="ER33" si="867">IFERROR(IF(AND($E34="H",Q33&lt;&gt;""),IF(OR(LEFT(Q33,1)="T",LEFT(Q33,1)="S",LEFT(Q33,1)="A",LEFT(Q33,1)="F",LEFT(Q33,1)="C"),LEFT(Q33,1),"R"),ER$18),"")</f>
        <v>8</v>
      </c>
      <c r="ES33" s="88">
        <f t="shared" ref="ES33" si="868">IFERROR(IF(AND($E34="H",R33&lt;&gt;""),IF(OR(LEFT(R33,1)="T",LEFT(R33,1)="S",LEFT(R33,1)="A",LEFT(R33,1)="F",LEFT(R33,1)="C"),LEFT(R33,1),"R"),ES$18),"")</f>
        <v>9</v>
      </c>
      <c r="ET33" s="88">
        <f t="shared" ref="ET33" si="869">IFERROR(IF(AND($E34="H",S33&lt;&gt;""),IF(OR(LEFT(S33,1)="T",LEFT(S33,1)="S",LEFT(S33,1)="A",LEFT(S33,1)="F",LEFT(S33,1)="C"),LEFT(S33,1),"R"),ET$18),"")</f>
        <v>10</v>
      </c>
      <c r="EU33" s="88">
        <f t="shared" ref="EU33" si="870">IFERROR(IF(AND($E34="H",T33&lt;&gt;""),IF(OR(LEFT(T33,1)="T",LEFT(T33,1)="S",LEFT(T33,1)="A",LEFT(T33,1)="F",LEFT(T33,1)="C"),LEFT(T33,1),"R"),EU$18),"")</f>
        <v>11</v>
      </c>
      <c r="EV33" s="88">
        <f t="shared" ref="EV33" si="871">IFERROR(IF(AND($E34="H",U33&lt;&gt;""),IF(OR(LEFT(U33,1)="T",LEFT(U33,1)="S",LEFT(U33,1)="A",LEFT(U33,1)="F",LEFT(U33,1)="C"),LEFT(U33,1),"R"),EV$18),"")</f>
        <v>12</v>
      </c>
      <c r="EW33" s="88">
        <f t="shared" ref="EW33" si="872">IFERROR(IF(AND($E34="H",V33&lt;&gt;""),IF(OR(LEFT(V33,1)="T",LEFT(V33,1)="S",LEFT(V33,1)="A",LEFT(V33,1)="F",LEFT(V33,1)="C"),LEFT(V33,1),"R"),EW$18),"")</f>
        <v>13</v>
      </c>
      <c r="EX33" s="88">
        <f t="shared" ref="EX33" si="873">IFERROR(IF(AND($E34="H",W33&lt;&gt;""),IF(OR(LEFT(W33,1)="T",LEFT(W33,1)="S",LEFT(W33,1)="A",LEFT(W33,1)="F",LEFT(W33,1)="C"),LEFT(W33,1),"R"),EX$18),"")</f>
        <v>14</v>
      </c>
      <c r="EY33" s="88">
        <f t="shared" ref="EY33" si="874">IFERROR(IF(AND($E34="H",X33&lt;&gt;""),IF(OR(LEFT(X33,1)="T",LEFT(X33,1)="S",LEFT(X33,1)="A",LEFT(X33,1)="F",LEFT(X33,1)="C"),LEFT(X33,1),"R"),EY$18),"")</f>
        <v>15</v>
      </c>
      <c r="EZ33" s="88">
        <f t="shared" ref="EZ33" si="875">IFERROR(IF(AND($E34="H",Y33&lt;&gt;""),IF(OR(LEFT(Y33,1)="T",LEFT(Y33,1)="S",LEFT(Y33,1)="A",LEFT(Y33,1)="F",LEFT(Y33,1)="C"),LEFT(Y33,1),"R"),EZ$18),"")</f>
        <v>16</v>
      </c>
      <c r="FA33" s="88">
        <f t="shared" ref="FA33" si="876">IFERROR(IF(AND($E34="H",Z33&lt;&gt;""),IF(OR(LEFT(Z33,1)="T",LEFT(Z33,1)="S",LEFT(Z33,1)="A",LEFT(Z33,1)="F",LEFT(Z33,1)="C"),LEFT(Z33,1),"R"),FA$18),"")</f>
        <v>17</v>
      </c>
      <c r="FB33" s="88">
        <f t="shared" ref="FB33" si="877">IFERROR(IF(AND($E34="H",AA33&lt;&gt;""),IF(OR(LEFT(AA33,1)="T",LEFT(AA33,1)="S",LEFT(AA33,1)="A",LEFT(AA33,1)="F",LEFT(AA33,1)="C"),LEFT(AA33,1),"R"),FB$18),"")</f>
        <v>18</v>
      </c>
      <c r="FC33" s="88">
        <f t="shared" ref="FC33" si="878">IFERROR(IF(AND($E34="H",AB33&lt;&gt;""),IF(OR(LEFT(AB33,1)="T",LEFT(AB33,1)="S",LEFT(AB33,1)="A",LEFT(AB33,1)="F",LEFT(AB33,1)="C"),LEFT(AB33,1),"R"),FC$18),"")</f>
        <v>19</v>
      </c>
      <c r="FD33" s="88">
        <f t="shared" ref="FD33" si="879">IFERROR(IF(AND($E34="H",AC33&lt;&gt;""),IF(OR(LEFT(AC33,1)="T",LEFT(AC33,1)="S",LEFT(AC33,1)="A",LEFT(AC33,1)="F",LEFT(AC33,1)="C"),LEFT(AC33,1),"R"),FD$18),"")</f>
        <v>20</v>
      </c>
      <c r="FE33" s="88">
        <f t="shared" ref="FE33" si="880">IFERROR(IF(AND($E34="H",AD33&lt;&gt;""),IF(OR(LEFT(AD33,1)="T",LEFT(AD33,1)="S",LEFT(AD33,1)="A",LEFT(AD33,1)="F",LEFT(AD33,1)="C"),LEFT(AD33,1),"R"),FE$18),"")</f>
        <v>21</v>
      </c>
      <c r="FF33" s="88">
        <f t="shared" ref="FF33" si="881">IFERROR(IF(AND($E34="H",AE33&lt;&gt;""),IF(OR(LEFT(AE33,1)="T",LEFT(AE33,1)="S",LEFT(AE33,1)="A",LEFT(AE33,1)="F",LEFT(AE33,1)="C"),LEFT(AE33,1),"R"),FF$18),"")</f>
        <v>22</v>
      </c>
      <c r="FG33" s="88">
        <f t="shared" ref="FG33" si="882">IFERROR(IF(AND($E34="H",AF33&lt;&gt;""),IF(OR(LEFT(AF33,1)="T",LEFT(AF33,1)="S",LEFT(AF33,1)="A",LEFT(AF33,1)="F",LEFT(AF33,1)="C"),LEFT(AF33,1),"R"),FG$18),"")</f>
        <v>23</v>
      </c>
      <c r="FH33" s="88">
        <f t="shared" ref="FH33" si="883">IFERROR(IF(AND($E34="H",AG33&lt;&gt;""),IF(OR(LEFT(AG33,1)="T",LEFT(AG33,1)="S",LEFT(AG33,1)="A",LEFT(AG33,1)="F",LEFT(AG33,1)="C"),LEFT(AG33,1),"R"),FH$18),"")</f>
        <v>24</v>
      </c>
      <c r="FI33" s="88">
        <f t="shared" ref="FI33" si="884">IFERROR(IF(AND($E34="H",AH33&lt;&gt;""),IF(OR(LEFT(AH33,1)="T",LEFT(AH33,1)="S",LEFT(AH33,1)="A",LEFT(AH33,1)="F",LEFT(AH33,1)="C"),LEFT(AH33,1),"R"),FI$18),"")</f>
        <v>25</v>
      </c>
      <c r="FJ33" s="88">
        <f t="shared" ref="FJ33" si="885">IFERROR(IF(AND($E34="H",AI33&lt;&gt;""),IF(OR(LEFT(AI33,1)="T",LEFT(AI33,1)="S",LEFT(AI33,1)="A",LEFT(AI33,1)="F",LEFT(AI33,1)="C"),LEFT(AI33,1),"R"),FJ$18),"")</f>
        <v>26</v>
      </c>
      <c r="FK33" s="88">
        <f t="shared" ref="FK33" si="886">IFERROR(IF(AND($E34="H",AJ33&lt;&gt;""),IF(OR(LEFT(AJ33,1)="T",LEFT(AJ33,1)="S",LEFT(AJ33,1)="A",LEFT(AJ33,1)="F",LEFT(AJ33,1)="C"),LEFT(AJ33,1),"R"),FK$18),"")</f>
        <v>27</v>
      </c>
      <c r="FL33" s="88">
        <f t="shared" ref="FL33" si="887">IFERROR(IF(AND($E34="H",AK33&lt;&gt;""),IF(OR(LEFT(AK33,1)="T",LEFT(AK33,1)="S",LEFT(AK33,1)="A",LEFT(AK33,1)="F",LEFT(AK33,1)="C"),LEFT(AK33,1),"R"),FL$18),"")</f>
        <v>28</v>
      </c>
      <c r="FM33" s="88">
        <f t="shared" ref="FM33" si="888">IFERROR(IF(AND($E34="H",AL33&lt;&gt;""),IF(OR(LEFT(AL33,1)="T",LEFT(AL33,1)="S",LEFT(AL33,1)="A",LEFT(AL33,1)="F",LEFT(AL33,1)="C"),LEFT(AL33,1),"R"),FM$18),"")</f>
        <v>29</v>
      </c>
      <c r="FN33" s="88">
        <f t="shared" ref="FN33" si="889">IFERROR(IF(AND($E34="H",AM33&lt;&gt;""),IF(OR(LEFT(AM33,1)="T",LEFT(AM33,1)="S",LEFT(AM33,1)="A",LEFT(AM33,1)="F",LEFT(AM33,1)="C"),LEFT(AM33,1),"R"),FN$18),"")</f>
        <v>30</v>
      </c>
      <c r="FO33" s="88"/>
      <c r="FP33" s="88"/>
      <c r="FQ33" s="88"/>
      <c r="FR33" s="285"/>
      <c r="FS33" s="285"/>
      <c r="FT33" s="285"/>
      <c r="FU33" s="285"/>
      <c r="FV33" s="285"/>
      <c r="FW33" s="285"/>
      <c r="FX33" s="285"/>
      <c r="FY33" s="285"/>
      <c r="FZ33" s="285"/>
      <c r="GA33" s="285"/>
      <c r="GB33" s="285"/>
      <c r="GC33" s="285"/>
      <c r="GD33" s="285"/>
      <c r="GE33" s="285"/>
      <c r="GF33" s="285"/>
      <c r="GG33" s="285"/>
      <c r="GH33" s="285"/>
      <c r="GI33" s="285"/>
      <c r="GJ33" s="285"/>
      <c r="GK33" s="285"/>
      <c r="GL33" s="285"/>
      <c r="GM33" s="285"/>
      <c r="GN33" s="285"/>
      <c r="GO33" s="285"/>
      <c r="GP33" s="285"/>
      <c r="GQ33" s="285"/>
      <c r="GR33" s="285"/>
      <c r="GS33" s="285"/>
      <c r="GT33" s="285"/>
      <c r="GU33" s="285"/>
      <c r="GV33" s="88"/>
      <c r="GW33" s="88">
        <f t="shared" ref="GW33" si="890">COUNTIF($EK33:$FN33,GW$18)</f>
        <v>0</v>
      </c>
      <c r="GX33" s="88">
        <f t="shared" si="29"/>
        <v>0</v>
      </c>
      <c r="GY33" s="88">
        <f t="shared" si="29"/>
        <v>0</v>
      </c>
      <c r="GZ33" s="88">
        <f t="shared" si="29"/>
        <v>0</v>
      </c>
      <c r="HA33" s="88">
        <f t="shared" si="29"/>
        <v>0</v>
      </c>
      <c r="HB33" s="88">
        <f t="shared" si="29"/>
        <v>0</v>
      </c>
      <c r="HC33" s="88"/>
      <c r="HD33" s="88" t="str">
        <f t="shared" ref="HD33" si="891">IF(AND($F33="Hybrid - Thrust + 2 connections",HD34=0,LEFT($J33,1)="C",LEFT($K33,1)="C",LEFT($L33,1)="C"),"X","")</f>
        <v/>
      </c>
      <c r="HE33" s="88"/>
      <c r="HF33" s="91"/>
      <c r="HG33" s="100"/>
      <c r="HH33" s="100"/>
      <c r="HI33" s="91" t="str">
        <f t="shared" ref="HI33" si="892">IF(E34=3,IF(_xlfn.NUMBERVALUE(LEFT(J33,1))&gt;0,_xlfn.NUMBERVALUE(LEFT(J33,1)),""),"")</f>
        <v/>
      </c>
      <c r="HK33" s="91" t="str">
        <f t="shared" ref="HK33" si="893">IF(OR(E34="B",E34="P"),E34,"")</f>
        <v/>
      </c>
      <c r="HL33" s="91" t="str">
        <f>IF(AND(J33&lt;&gt;"",HK33&lt;&gt;""),IF(HK33="B",MATCH(J33,AcroDD!$U$3:$AE$3,0),MATCH(J33,AcroDD!$U$30:$AC$30,0)),"")</f>
        <v/>
      </c>
      <c r="HM33" s="91" t="str">
        <f t="shared" ref="HM33" si="894">IF(AND(K33&lt;&gt;"",HK33&lt;&gt;""),K33,"")</f>
        <v/>
      </c>
      <c r="HN33" s="91" t="str">
        <f>_xlfn.LET(_xlpm.lista,IF(HK33="B",INDEX(AcroDD!$T$4:$AE$23,0,HL33+1),INDEX(AcroDD!$T$31:$AC$50,0,HL33+1)),IF(AND(OR(HK33="B",HK33="P"),HL33&lt;&gt;"",HM33&lt;&gt;""),IF(ISNUMBER(MATCH(HM33,_xlpm.lista,0)),"OK","X"),""))</f>
        <v/>
      </c>
    </row>
    <row r="34" spans="1:222" ht="12.75" customHeight="1" x14ac:dyDescent="0.35">
      <c r="A34" s="28"/>
      <c r="B34" s="29"/>
      <c r="C34" s="29"/>
      <c r="D34" s="29"/>
      <c r="E34" s="17" t="str">
        <f>IF(F33="Acrobatic - Pair","PA",IF(F33="Acrobatic Airborn","A",IF(F33="Acrobatic Balance","B",IF(F33="Acrobatic Combined","C",IF(F33="Acrobatic Platform","P",IF(F33="Technical Required Element",3,IF(LEFT(F33,4)="Hybr","H","")))))))</f>
        <v/>
      </c>
      <c r="F34" s="17" t="str">
        <f>IF(AND(F33="Hybrid - Thrust + 2 connections",CR33="X"),"Hybrid - Thrust",IF(OR(E34="A",E34="B",E34="C",E34="P"),"Acrobatic",""))</f>
        <v/>
      </c>
      <c r="G34" s="31"/>
      <c r="H34" s="182" t="str">
        <f t="shared" ref="H34" si="895">IF(E34="PA",IF(OR(LEFT(J33,1)="L",LEFT(J33,1)="S"),"A-Pair-Lift",IF(OR(LEFT(J33,1)="W",LEFT(J33,1)="T"),"A-Pair-Throw",IF(LEFT(J33,1)="J","A-Pair-Jump","A-Pair"))),IF(OR(E34="A",E34="B",E34="C",E34="P"),CONCATENATE("Acro-",E34),""))</f>
        <v/>
      </c>
      <c r="I34" s="176" t="e">
        <f>IF(OR(F33="Hybrid - Choreography (DD = 1)",LEFT(F33,5)="Trans"),0,INDEX($BY$3:$BY$9,MATCH(E34,$BX$3:$BX$9,0)))</f>
        <v>#N/A</v>
      </c>
      <c r="J34" s="171">
        <f ca="1">IFERROR(IF($H33="No DD",IF(J33="ChoHY",1,0),IF(OR(ISBLANK(J33),J33="N/A"),0,INDEX(INDIRECT(BI34),MATCH(J33,INDIRECT(BI33),0)))),0)</f>
        <v>0</v>
      </c>
      <c r="K34" s="171">
        <f t="shared" ref="K34:Y34" ca="1" si="896">IFERROR(IF($H33="No DD",0,IF(OR(ISBLANK(K33),K33="N/A"),0,INDEX(INDIRECT(BJ34),MATCH(K33,INDIRECT(BJ33),0)))),0)</f>
        <v>0</v>
      </c>
      <c r="L34" s="171">
        <f t="shared" ca="1" si="896"/>
        <v>0</v>
      </c>
      <c r="M34" s="171">
        <f t="shared" ca="1" si="896"/>
        <v>0</v>
      </c>
      <c r="N34" s="171">
        <f t="shared" ca="1" si="896"/>
        <v>0</v>
      </c>
      <c r="O34" s="171">
        <f t="shared" ca="1" si="896"/>
        <v>0</v>
      </c>
      <c r="P34" s="171">
        <f t="shared" ca="1" si="896"/>
        <v>0</v>
      </c>
      <c r="Q34" s="171">
        <f t="shared" ca="1" si="896"/>
        <v>0</v>
      </c>
      <c r="R34" s="171">
        <f t="shared" ca="1" si="896"/>
        <v>0</v>
      </c>
      <c r="S34" s="171">
        <f t="shared" ca="1" si="896"/>
        <v>0</v>
      </c>
      <c r="T34" s="171">
        <f t="shared" ca="1" si="896"/>
        <v>0</v>
      </c>
      <c r="U34" s="171">
        <f t="shared" ca="1" si="896"/>
        <v>0</v>
      </c>
      <c r="V34" s="171">
        <f t="shared" ca="1" si="896"/>
        <v>0</v>
      </c>
      <c r="W34" s="171">
        <f t="shared" ca="1" si="896"/>
        <v>0</v>
      </c>
      <c r="X34" s="171">
        <f t="shared" ca="1" si="896"/>
        <v>0</v>
      </c>
      <c r="Y34" s="171">
        <f t="shared" ca="1" si="896"/>
        <v>0</v>
      </c>
      <c r="Z34" s="171">
        <f t="shared" ref="Z34" ca="1" si="897">IFERROR(IF($H33="No DD",0,IF(OR(ISBLANK(Z33),Z33="N/A"),0,INDEX(INDIRECT(BY34),MATCH(Z33,INDIRECT(BY33),0)))),0)</f>
        <v>0</v>
      </c>
      <c r="AA34" s="171">
        <f t="shared" ref="AA34" ca="1" si="898">IFERROR(IF($H33="No DD",0,IF(OR(ISBLANK(AA33),AA33="N/A"),0,INDEX(INDIRECT(BZ34),MATCH(AA33,INDIRECT(BZ33),0)))),0)</f>
        <v>0</v>
      </c>
      <c r="AB34" s="171">
        <f t="shared" ref="AB34" ca="1" si="899">IFERROR(IF($H33="No DD",0,IF(OR(ISBLANK(AB33),AB33="N/A"),0,INDEX(INDIRECT(CA34),MATCH(AB33,INDIRECT(CA33),0)))),0)</f>
        <v>0</v>
      </c>
      <c r="AC34" s="171">
        <f t="shared" ref="AC34" ca="1" si="900">IFERROR(IF($H33="No DD",0,IF(OR(ISBLANK(AC33),AC33="N/A"),0,INDEX(INDIRECT(CB34),MATCH(AC33,INDIRECT(CB33),0)))),0)</f>
        <v>0</v>
      </c>
      <c r="AD34" s="171">
        <f t="shared" ref="AD34" ca="1" si="901">IFERROR(IF($H33="No DD",0,IF(OR(ISBLANK(AD33),AD33="N/A"),0,INDEX(INDIRECT(CC34),MATCH(AD33,INDIRECT(CC33),0)))),0)</f>
        <v>0</v>
      </c>
      <c r="AE34" s="171">
        <f t="shared" ref="AE34" ca="1" si="902">IFERROR(IF($H33="No DD",0,IF(OR(ISBLANK(AE33),AE33="N/A"),0,INDEX(INDIRECT(CD34),MATCH(AE33,INDIRECT(CD33),0)))),0)</f>
        <v>0</v>
      </c>
      <c r="AF34" s="171">
        <f t="shared" ref="AF34" ca="1" si="903">IFERROR(IF($H33="No DD",0,IF(OR(ISBLANK(AF33),AF33="N/A"),0,INDEX(INDIRECT(CE34),MATCH(AF33,INDIRECT(CE33),0)))),0)</f>
        <v>0</v>
      </c>
      <c r="AG34" s="171">
        <f t="shared" ref="AG34" ca="1" si="904">IFERROR(IF($H33="No DD",0,IF(OR(ISBLANK(AG33),AG33="N/A"),0,INDEX(INDIRECT(CF34),MATCH(AG33,INDIRECT(CF33),0)))),0)</f>
        <v>0</v>
      </c>
      <c r="AH34" s="171">
        <f t="shared" ref="AH34" ca="1" si="905">IFERROR(IF($H33="No DD",0,IF(OR(ISBLANK(AH33),AH33="N/A"),0,INDEX(INDIRECT(CG34),MATCH(AH33,INDIRECT(CG33),0)))),0)</f>
        <v>0</v>
      </c>
      <c r="AI34" s="171">
        <f t="shared" ref="AI34" ca="1" si="906">IFERROR(IF($H33="No DD",0,IF(OR(ISBLANK(AI33),AI33="N/A"),0,INDEX(INDIRECT(CH34),MATCH(AI33,INDIRECT(CH33),0)))),0)</f>
        <v>0</v>
      </c>
      <c r="AJ34" s="171">
        <f t="shared" ref="AJ34" ca="1" si="907">IFERROR(IF($H33="No DD",0,IF(OR(ISBLANK(AJ33),AJ33="N/A"),0,INDEX(INDIRECT(CI34),MATCH(AJ33,INDIRECT(CI33),0)))),0)</f>
        <v>0</v>
      </c>
      <c r="AK34" s="171">
        <f t="shared" ref="AK34" ca="1" si="908">IFERROR(IF($H33="No DD",0,IF(OR(ISBLANK(AK33),AK33="N/A"),0,INDEX(INDIRECT(CJ34),MATCH(AK33,INDIRECT(CJ33),0)))),0)</f>
        <v>0</v>
      </c>
      <c r="AL34" s="171">
        <f t="shared" ref="AL34" ca="1" si="909">IFERROR(IF($H33="No DD",0,IF(OR(ISBLANK(AL33),AL33="N/A"),0,INDEX(INDIRECT(CK34),MATCH(AL33,INDIRECT(CK33),0)))),0)</f>
        <v>0</v>
      </c>
      <c r="AM34" s="171">
        <f t="shared" ref="AM34" ca="1" si="910">IFERROR(IF($H33="No DD",0,IF(OR(ISBLANK(AM33),AM33="N/A"),0,INDEX(INDIRECT(CL34),MATCH(AM33,INDIRECT(CL33),0)))),0)</f>
        <v>0</v>
      </c>
      <c r="AN34" s="172" t="str">
        <f>IFERROR(IF(E34="H",INDEX(HybridBonus_Value,MATCH(AN33,HybridBonus_Code,0)),""),"")</f>
        <v/>
      </c>
      <c r="AO34" s="276" t="str">
        <f t="shared" ref="AO34" si="911">IFERROR(SUM(I34:AN34),"")</f>
        <v/>
      </c>
      <c r="AP34" s="62"/>
      <c r="AQ34" s="62"/>
      <c r="AR34" s="101"/>
      <c r="AS34" s="101"/>
      <c r="AT34" s="101"/>
      <c r="AU34" s="101"/>
      <c r="AV34" s="101"/>
      <c r="BA34" s="90"/>
      <c r="BB34" s="101"/>
      <c r="BC34" s="101"/>
      <c r="BD34" s="101"/>
      <c r="BE34" s="101"/>
      <c r="BF34" s="101"/>
      <c r="BG34" s="90"/>
      <c r="BH34" s="101"/>
      <c r="BI34" s="91" t="str">
        <f t="shared" ref="BI34" si="912">IF($E34="H",IF($F33="Hybrid - Thrust + 2 connections","Hybrid_Mix_Req_Value","HybridDD_Value"),IF($E34=3,"TreDD_Value",IF($E34="PA","AcroPair_Value",IF(LEFT($F33,4)="Acro",CONCATENATE(BI$16,$E34,"_Value"),""))))</f>
        <v/>
      </c>
      <c r="BJ34" s="91" t="str">
        <f t="shared" ref="BJ34" si="913">IF($E34="H",IF($F33="Hybrid - Thrust + 2 connections","Hybrid_Mix_Req_Value","HybridDD_Value"),IF($E34=3,"TreDD_Value",IF($E34="PA","AcroPair_Value",IF(LEFT($F33,4)="Acro",CONCATENATE(BJ$16,$E34,"_Value"),""))))</f>
        <v/>
      </c>
      <c r="BK34" s="91" t="str">
        <f t="shared" ref="BK34" si="914">IF($E34="H",IF($F33="Hybrid - Thrust + 2 connections","Hybrid_Mix_Req_Value","HybridDD_Value"),IF($E34=3,"TreDD_Value",IF($E34="PA","AcroPair_Value",IF(LEFT($F33,4)="Acro",CONCATENATE(BK$16,$E34,"_Value"),""))))</f>
        <v/>
      </c>
      <c r="BL34" s="91" t="str">
        <f t="shared" ref="BL34" si="915">IF($E34="H",IF($F33="Hybrid - Thrust + 2 connections","Hybrid_Mix_Req_Value","HybridDD_Value"),IF($E34=3,"TreDD_Value",IF($E34="PA","AcroPair_Value",IF(LEFT($F33,4)="Acro",CONCATENATE(BL$16,$E34,"_Value"),""))))</f>
        <v/>
      </c>
      <c r="BM34" s="91" t="str">
        <f t="shared" ref="BM34" si="916">IF($E34="H",IF($F33="Hybrid - Thrust + 2 connections","Hybrid_Mix_Req_Value","HybridDD_Value"),IF($E34=3,"TreDD_Value",IF($E34="PA","AcroPair_Value",IF(LEFT($F33,4)="Acro",CONCATENATE(BM$16,$E34,"_Value"),""))))</f>
        <v/>
      </c>
      <c r="BN34" s="91" t="str">
        <f t="shared" ref="BN34" si="917">IF($E34="H",IF($F33="Hybrid - Thrust + 2 connections","Hybrid_Mix_Req_Value","HybridDD_Value"),IF($E34=3,"TreDD_Value",IF($E34="PA","AcroPair_Value",IF(LEFT($F33,4)="Acro",CONCATENATE(BN$16,$E34,"_Value"),""))))</f>
        <v/>
      </c>
      <c r="BO34" s="91" t="str">
        <f t="shared" ref="BO34" si="918">IF($E34="H",IF($F33="Hybrid - Thrust + 2 connections","Hybrid_Mix_Req_Value","HybridDD_Value"),IF($E34=3,"TreDD_Value",IF($E34="PA","AcroPair_Value",IF(LEFT($F33,4)="Acro",CONCATENATE(BO$16,$E34,"_Value"),""))))</f>
        <v/>
      </c>
      <c r="BP34" s="91" t="str">
        <f t="shared" ref="BP34" si="919">IF($E34="H",IF($F33="Hybrid - Thrust + 2 connections","Hybrid_Mix_Req_Value","HybridDD_Value"),IF($E34=3,"TreDD_Value",IF($E34="PA","AcroPair_Value",IF(LEFT($F33,4)="Acro",CONCATENATE(BP$16,$E34,"_Value"),""))))</f>
        <v/>
      </c>
      <c r="BQ34" s="91" t="str">
        <f t="shared" ref="BQ34" si="920">IF($E34="H",IF($F33="Hybrid - Thrust + 2 connections","Hybrid_Mix_Req_Value","HybridDD_Value"),IF($E34=3,"TreDD_Value",IF($E34="PA","AcroPair_Value",IF(LEFT($F33,4)="Acro",CONCATENATE(BQ$16,$E34,"_Value"),""))))</f>
        <v/>
      </c>
      <c r="BR34" s="90" t="str">
        <f t="shared" ref="BR34" si="921">IF($E34="H",IF($F33="Hybrid - Thrust + 2 connections","Data!$BI$1:$BI$5","HybridDD_Value"),"Data!$BI$1:$BI$5")</f>
        <v>Data!$BI$1:$BI$5</v>
      </c>
      <c r="BS34" s="90" t="str">
        <f t="shared" ref="BS34" si="922">IF($E34="H",IF($F33="Hybrid - Thrust + 2 connections","Data!$BI$1:$BI$5","HybridDD_Value"),"Data!$BI$1:$BI$5")</f>
        <v>Data!$BI$1:$BI$5</v>
      </c>
      <c r="BT34" s="90" t="str">
        <f t="shared" ref="BT34" si="923">IF($E34="H",IF($F33="Hybrid - Thrust + 2 connections","Data!$BI$1:$BI$5","HybridDD_Value"),"Data!$BI$1:$BI$5")</f>
        <v>Data!$BI$1:$BI$5</v>
      </c>
      <c r="BU34" s="90" t="str">
        <f t="shared" ref="BU34" si="924">IF($E34="H",IF($F33="Hybrid - Thrust + 2 connections","Data!$BI$1:$BI$5","HybridDD_Value"),"Data!$BI$1:$BI$5")</f>
        <v>Data!$BI$1:$BI$5</v>
      </c>
      <c r="BV34" s="90" t="str">
        <f t="shared" ref="BV34" si="925">IF($E34="H",IF($F33="Hybrid - Thrust + 2 connections","Data!$BI$1:$BI$5","HybridDD_Value"),"Data!$BI$1:$BI$5")</f>
        <v>Data!$BI$1:$BI$5</v>
      </c>
      <c r="BW34" s="90" t="str">
        <f t="shared" ref="BW34" si="926">IF($E34="H",IF($F33="Hybrid - Thrust + 2 connections","Data!$BI$1:$BI$5","HybridDD_Value"),"Data!$BI$1:$BI$5")</f>
        <v>Data!$BI$1:$BI$5</v>
      </c>
      <c r="BX34" s="90" t="str">
        <f t="shared" ref="BX34" si="927">IF($E34="H",IF($F33="Hybrid - Thrust + 2 connections","Data!$BI$1:$BI$5","HybridDD_Value"),"Data!$BI$1:$BI$5")</f>
        <v>Data!$BI$1:$BI$5</v>
      </c>
      <c r="BY34" s="90" t="str">
        <f t="shared" ref="BY34" si="928">IF($E34="H",IF($F33="Hybrid - Thrust + 2 connections","Data!$BI$1:$BI$5","HybridDD_Value"),"Data!$BI$1:$BI$5")</f>
        <v>Data!$BI$1:$BI$5</v>
      </c>
      <c r="BZ34" s="90" t="str">
        <f t="shared" ref="BZ34" si="929">IF($E34="H",IF($F33="Hybrid - Thrust + 2 connections","Data!$BI$1:$BI$5","HybridDD_Value"),"Data!$BI$1:$BI$5")</f>
        <v>Data!$BI$1:$BI$5</v>
      </c>
      <c r="CA34" s="90" t="str">
        <f t="shared" ref="CA34" si="930">IF($E34="H",IF($F33="Hybrid - Thrust + 2 connections","Data!$BI$1:$BI$5","HybridDD_Value"),"Data!$BI$1:$BI$5")</f>
        <v>Data!$BI$1:$BI$5</v>
      </c>
      <c r="CB34" s="90" t="str">
        <f t="shared" ref="CB34" si="931">IF($E34="H",IF($F33="Hybrid - Thrust + 2 connections","Data!$BI$1:$BI$5","HybridDD_Value"),"Data!$BI$1:$BI$5")</f>
        <v>Data!$BI$1:$BI$5</v>
      </c>
      <c r="CC34" s="90" t="str">
        <f t="shared" ref="CC34" si="932">IF($E34="H",IF($F33="Hybrid - Thrust + 2 connections","Data!$BI$1:$BI$5","HybridDD_Value"),"Data!$BI$1:$BI$5")</f>
        <v>Data!$BI$1:$BI$5</v>
      </c>
      <c r="CD34" s="90" t="str">
        <f t="shared" ref="CD34" si="933">IF($E34="H",IF($F33="Hybrid - Thrust + 2 connections","Data!$BI$1:$BI$5","HybridDD_Value"),"Data!$BI$1:$BI$5")</f>
        <v>Data!$BI$1:$BI$5</v>
      </c>
      <c r="CE34" s="90" t="str">
        <f t="shared" ref="CE34" si="934">IF($E34="H",IF($F33="Hybrid - Thrust + 2 connections","Data!$BI$1:$BI$5","HybridDD_Value"),"Data!$BI$1:$BI$5")</f>
        <v>Data!$BI$1:$BI$5</v>
      </c>
      <c r="CF34" s="90" t="str">
        <f t="shared" ref="CF34" si="935">IF($E34="H",IF($F33="Hybrid - Thrust + 2 connections","Data!$BI$1:$BI$5","HybridDD_Value"),"Data!$BI$1:$BI$5")</f>
        <v>Data!$BI$1:$BI$5</v>
      </c>
      <c r="CG34" s="90" t="str">
        <f t="shared" ref="CG34" si="936">IF($E34="H",IF($F33="Hybrid - Thrust + 2 connections","Data!$BI$1:$BI$5","HybridDD_Value"),"Data!$BI$1:$BI$5")</f>
        <v>Data!$BI$1:$BI$5</v>
      </c>
      <c r="CH34" s="90" t="str">
        <f t="shared" ref="CH34" si="937">IF($E34="H",IF($F33="Hybrid - Thrust + 2 connections","Data!$BI$1:$BI$5","HybridDD_Value"),"Data!$BI$1:$BI$5")</f>
        <v>Data!$BI$1:$BI$5</v>
      </c>
      <c r="CI34" s="90" t="str">
        <f t="shared" ref="CI34" si="938">IF($E34="H",IF($F33="Hybrid - Thrust + 2 connections","Data!$BI$1:$BI$5","HybridDD_Value"),"Data!$BI$1:$BI$5")</f>
        <v>Data!$BI$1:$BI$5</v>
      </c>
      <c r="CJ34" s="90" t="str">
        <f t="shared" ref="CJ34" si="939">IF($E34="H",IF($F33="Hybrid - Thrust + 2 connections","Data!$BI$1:$BI$5","HybridDD_Value"),"Data!$BI$1:$BI$5")</f>
        <v>Data!$BI$1:$BI$5</v>
      </c>
      <c r="CK34" s="90" t="str">
        <f t="shared" ref="CK34" si="940">IF($E34="H",IF($F33="Hybrid - Thrust + 2 connections","Data!$BI$1:$BI$5","HybridDD_Value"),"Data!$BI$1:$BI$5")</f>
        <v>Data!$BI$1:$BI$5</v>
      </c>
      <c r="CL34" s="90" t="str">
        <f t="shared" ref="CL34" si="941">IF($E34="H",IF($F33="Hybrid - Thrust + 2 connections","Data!$BI$1:$BI$5","HybridDD_Value"),"Data!$BI$1:$BI$5")</f>
        <v>Data!$BI$1:$BI$5</v>
      </c>
      <c r="CM34" s="101"/>
      <c r="CN34" s="101"/>
      <c r="CO34" s="102" t="str">
        <f>IFERROR(IF(AND($BV$6="T",$BV$8="T",LEFT(F33,4)="Acro",AO34&gt;3),"X",IF($N$7="X",IF(AND(E34="C",AO34&gt;$CN$6),"X",IF(AND(E34="A",AO34&gt;$CN$4),"X",IF(AND(E34="B",AO34&gt;$CN$5),"X",IF(AND(E34="P",AO34&gt;$CN$7),"X","")))),"")),"")</f>
        <v/>
      </c>
      <c r="CP34" s="94"/>
      <c r="CQ34" s="91"/>
      <c r="CS34" s="91"/>
      <c r="CT34" s="91"/>
      <c r="CU34" s="91"/>
      <c r="CV34" s="91"/>
      <c r="CW34" s="91"/>
      <c r="CX34" s="91"/>
      <c r="CY34" s="91"/>
      <c r="CZ34" s="91"/>
      <c r="DD34" s="88" t="str">
        <f t="shared" si="10"/>
        <v/>
      </c>
      <c r="DE34" s="88" t="str">
        <f t="shared" si="11"/>
        <v/>
      </c>
      <c r="DF34" s="88" t="str">
        <f t="shared" si="12"/>
        <v/>
      </c>
      <c r="DG34" s="88" t="str">
        <f t="shared" si="13"/>
        <v/>
      </c>
      <c r="DO34" s="88">
        <v>16</v>
      </c>
      <c r="ED34" s="88" t="str">
        <f t="shared" si="14"/>
        <v/>
      </c>
      <c r="EE34" s="88" t="str">
        <f t="shared" si="15"/>
        <v/>
      </c>
      <c r="EI34" s="88" t="str" cm="1">
        <f t="array" ref="EI34">IFERROR(INDEX(EK34:FN34,MATCH(TRUE,INDEX((EK34:FN34&lt;&gt;""),),0)),"")</f>
        <v/>
      </c>
      <c r="EK34" s="88" t="str">
        <f t="shared" ref="EK34" si="942">IF(F33="Hybrid - Thrust + 2 connections",IF(COUNTIF($EK33:$FN33,EK33)&gt;1,EK33,""),IF(COUNTIF($EK33:$FN33,EK33)&gt;5,EK33,""))</f>
        <v/>
      </c>
      <c r="EL34" s="88" t="str">
        <f t="shared" ref="EL34" si="943">IF(G33="Hybrid - Thrust + 2 connections",IF(COUNTIF($EK33:$FN33,EL33)&gt;1,EL33,""),IF(COUNTIF($EK33:$FN33,EL33)&gt;5,EL33,""))</f>
        <v/>
      </c>
      <c r="EM34" s="88" t="str">
        <f t="shared" ref="EM34" si="944">IF(H33="Hybrid - Thrust + 2 connections",IF(COUNTIF($EK33:$FN33,EM33)&gt;1,EM33,""),IF(COUNTIF($EK33:$FN33,EM33)&gt;5,EM33,""))</f>
        <v/>
      </c>
      <c r="EN34" s="88" t="str">
        <f t="shared" ref="EN34" si="945">IF(I33="Hybrid - Thrust + 2 connections",IF(COUNTIF($EK33:$FN33,EN33)&gt;1,EN33,""),IF(COUNTIF($EK33:$FN33,EN33)&gt;5,EN33,""))</f>
        <v/>
      </c>
      <c r="EO34" s="88" t="str">
        <f t="shared" ref="EO34" si="946">IF(J33="Hybrid - Thrust + 2 connections",IF(COUNTIF($EK33:$FN33,EO33)&gt;1,EO33,""),IF(COUNTIF($EK33:$FN33,EO33)&gt;5,EO33,""))</f>
        <v/>
      </c>
      <c r="EP34" s="88" t="str">
        <f t="shared" ref="EP34" si="947">IF(K33="Hybrid - Thrust + 2 connections",IF(COUNTIF($EK33:$FN33,EP33)&gt;1,EP33,""),IF(COUNTIF($EK33:$FN33,EP33)&gt;5,EP33,""))</f>
        <v/>
      </c>
      <c r="EQ34" s="88" t="str">
        <f t="shared" ref="EQ34" si="948">IF(L33="Hybrid - Thrust + 2 connections",IF(COUNTIF($EK33:$FN33,EQ33)&gt;1,EQ33,""),IF(COUNTIF($EK33:$FN33,EQ33)&gt;5,EQ33,""))</f>
        <v/>
      </c>
      <c r="ER34" s="88" t="str">
        <f t="shared" ref="ER34" si="949">IF(M33="Hybrid - Thrust + 2 connections",IF(COUNTIF($EK33:$FN33,ER33)&gt;1,ER33,""),IF(COUNTIF($EK33:$FN33,ER33)&gt;5,ER33,""))</f>
        <v/>
      </c>
      <c r="ES34" s="88" t="str">
        <f t="shared" ref="ES34" si="950">IF(N33="Hybrid - Thrust + 2 connections",IF(COUNTIF($EK33:$FN33,ES33)&gt;1,ES33,""),IF(COUNTIF($EK33:$FN33,ES33)&gt;5,ES33,""))</f>
        <v/>
      </c>
      <c r="ET34" s="88" t="str">
        <f t="shared" ref="ET34" si="951">IF(O33="Hybrid - Thrust + 2 connections",IF(COUNTIF($EK33:$FN33,ET33)&gt;1,ET33,""),IF(COUNTIF($EK33:$FN33,ET33)&gt;5,ET33,""))</f>
        <v/>
      </c>
      <c r="EU34" s="88" t="str">
        <f t="shared" ref="EU34" si="952">IF(P33="Hybrid - Thrust + 2 connections",IF(COUNTIF($EK33:$FN33,EU33)&gt;1,EU33,""),IF(COUNTIF($EK33:$FN33,EU33)&gt;5,EU33,""))</f>
        <v/>
      </c>
      <c r="EV34" s="88" t="str">
        <f t="shared" ref="EV34" si="953">IF(Q33="Hybrid - Thrust + 2 connections",IF(COUNTIF($EK33:$FN33,EV33)&gt;1,EV33,""),IF(COUNTIF($EK33:$FN33,EV33)&gt;5,EV33,""))</f>
        <v/>
      </c>
      <c r="EW34" s="88" t="str">
        <f t="shared" ref="EW34" si="954">IF(R33="Hybrid - Thrust + 2 connections",IF(COUNTIF($EK33:$FN33,EW33)&gt;1,EW33,""),IF(COUNTIF($EK33:$FN33,EW33)&gt;5,EW33,""))</f>
        <v/>
      </c>
      <c r="EX34" s="88" t="str">
        <f t="shared" ref="EX34" si="955">IF(S33="Hybrid - Thrust + 2 connections",IF(COUNTIF($EK33:$FN33,EX33)&gt;1,EX33,""),IF(COUNTIF($EK33:$FN33,EX33)&gt;5,EX33,""))</f>
        <v/>
      </c>
      <c r="EY34" s="88" t="str">
        <f t="shared" ref="EY34" si="956">IF(T33="Hybrid - Thrust + 2 connections",IF(COUNTIF($EK33:$FN33,EY33)&gt;1,EY33,""),IF(COUNTIF($EK33:$FN33,EY33)&gt;5,EY33,""))</f>
        <v/>
      </c>
      <c r="EZ34" s="88" t="str">
        <f t="shared" ref="EZ34" si="957">IF(U33="Hybrid - Thrust + 2 connections",IF(COUNTIF($EK33:$FN33,EZ33)&gt;1,EZ33,""),IF(COUNTIF($EK33:$FN33,EZ33)&gt;5,EZ33,""))</f>
        <v/>
      </c>
      <c r="FA34" s="88" t="str">
        <f t="shared" ref="FA34" si="958">IF(V33="Hybrid - Thrust + 2 connections",IF(COUNTIF($EK33:$FN33,FA33)&gt;1,FA33,""),IF(COUNTIF($EK33:$FN33,FA33)&gt;5,FA33,""))</f>
        <v/>
      </c>
      <c r="FB34" s="88" t="str">
        <f t="shared" ref="FB34" si="959">IF(W33="Hybrid - Thrust + 2 connections",IF(COUNTIF($EK33:$FN33,FB33)&gt;1,FB33,""),IF(COUNTIF($EK33:$FN33,FB33)&gt;5,FB33,""))</f>
        <v/>
      </c>
      <c r="FC34" s="88" t="str">
        <f t="shared" ref="FC34" si="960">IF(X33="Hybrid - Thrust + 2 connections",IF(COUNTIF($EK33:$FN33,FC33)&gt;1,FC33,""),IF(COUNTIF($EK33:$FN33,FC33)&gt;5,FC33,""))</f>
        <v/>
      </c>
      <c r="FD34" s="88" t="str">
        <f t="shared" ref="FD34" si="961">IF(Y33="Hybrid - Thrust + 2 connections",IF(COUNTIF($EK33:$FN33,FD33)&gt;1,FD33,""),IF(COUNTIF($EK33:$FN33,FD33)&gt;5,FD33,""))</f>
        <v/>
      </c>
      <c r="FE34" s="88" t="str">
        <f t="shared" ref="FE34" si="962">IF(Z33="Hybrid - Thrust + 2 connections",IF(COUNTIF($EK33:$FN33,FE33)&gt;1,FE33,""),IF(COUNTIF($EK33:$FN33,FE33)&gt;5,FE33,""))</f>
        <v/>
      </c>
      <c r="FF34" s="88" t="str">
        <f t="shared" ref="FF34" si="963">IF(AA33="Hybrid - Thrust + 2 connections",IF(COUNTIF($EK33:$FN33,FF33)&gt;1,FF33,""),IF(COUNTIF($EK33:$FN33,FF33)&gt;5,FF33,""))</f>
        <v/>
      </c>
      <c r="FG34" s="88" t="str">
        <f t="shared" ref="FG34" si="964">IF(AB33="Hybrid - Thrust + 2 connections",IF(COUNTIF($EK33:$FN33,FG33)&gt;1,FG33,""),IF(COUNTIF($EK33:$FN33,FG33)&gt;5,FG33,""))</f>
        <v/>
      </c>
      <c r="FH34" s="88" t="str">
        <f t="shared" ref="FH34" si="965">IF(AC33="Hybrid - Thrust + 2 connections",IF(COUNTIF($EK33:$FN33,FH33)&gt;1,FH33,""),IF(COUNTIF($EK33:$FN33,FH33)&gt;5,FH33,""))</f>
        <v/>
      </c>
      <c r="FI34" s="88" t="str">
        <f t="shared" ref="FI34" si="966">IF(AD33="Hybrid - Thrust + 2 connections",IF(COUNTIF($EK33:$FN33,FI33)&gt;1,FI33,""),IF(COUNTIF($EK33:$FN33,FI33)&gt;5,FI33,""))</f>
        <v/>
      </c>
      <c r="FJ34" s="88" t="str">
        <f t="shared" ref="FJ34" si="967">IF(AE33="Hybrid - Thrust + 2 connections",IF(COUNTIF($EK33:$FN33,FJ33)&gt;1,FJ33,""),IF(COUNTIF($EK33:$FN33,FJ33)&gt;5,FJ33,""))</f>
        <v/>
      </c>
      <c r="FK34" s="88" t="str">
        <f t="shared" ref="FK34" si="968">IF(AF33="Hybrid - Thrust + 2 connections",IF(COUNTIF($EK33:$FN33,FK33)&gt;1,FK33,""),IF(COUNTIF($EK33:$FN33,FK33)&gt;5,FK33,""))</f>
        <v/>
      </c>
      <c r="FL34" s="88" t="str">
        <f t="shared" ref="FL34" si="969">IF(AG33="Hybrid - Thrust + 2 connections",IF(COUNTIF($EK33:$FN33,FL33)&gt;1,FL33,""),IF(COUNTIF($EK33:$FN33,FL33)&gt;5,FL33,""))</f>
        <v/>
      </c>
      <c r="FM34" s="88" t="str">
        <f t="shared" ref="FM34" si="970">IF(AH33="Hybrid - Thrust + 2 connections",IF(COUNTIF($EK33:$FN33,FM33)&gt;1,FM33,""),IF(COUNTIF($EK33:$FN33,FM33)&gt;5,FM33,""))</f>
        <v/>
      </c>
      <c r="FN34" s="88" t="str">
        <f t="shared" ref="FN34" si="971">IF(AI33="Hybrid - Thrust + 2 connections",IF(COUNTIF($EK33:$FN33,FN33)&gt;1,FN33,""),IF(COUNTIF($EK33:$FN33,FN33)&gt;5,FN33,""))</f>
        <v/>
      </c>
      <c r="FO34" s="88">
        <f t="shared" ref="FO34" si="972">FO32+5</f>
        <v>35</v>
      </c>
      <c r="FP34" s="88" t="str" cm="1">
        <f t="array" ref="FP34">IF(FQ34&lt;&gt;"",LEFT(FQ34,FIND("*",FQ34)-1),INDEX($FP$75:$FP$172,FO34+1))</f>
        <v/>
      </c>
      <c r="FQ34" s="88" t="str" cm="1">
        <f t="array" ref="FQ34">INDEX($FQ$75:$FQ$172,FO34+1)</f>
        <v/>
      </c>
      <c r="FR34" s="285"/>
      <c r="FS34" s="285"/>
      <c r="FT34" s="285"/>
      <c r="FU34" s="285"/>
      <c r="FV34" s="285"/>
      <c r="FW34" s="285"/>
      <c r="FX34" s="285"/>
      <c r="FY34" s="285"/>
      <c r="FZ34" s="285"/>
      <c r="GA34" s="285"/>
      <c r="GB34" s="285"/>
      <c r="GC34" s="285"/>
      <c r="GD34" s="285"/>
      <c r="GE34" s="285"/>
      <c r="GF34" s="285"/>
      <c r="GG34" s="285"/>
      <c r="GH34" s="285"/>
      <c r="GI34" s="285"/>
      <c r="GJ34" s="285"/>
      <c r="GK34" s="285"/>
      <c r="GL34" s="285"/>
      <c r="GM34" s="285"/>
      <c r="GN34" s="285"/>
      <c r="GO34" s="285"/>
      <c r="GP34" s="285"/>
      <c r="GQ34" s="285"/>
      <c r="GR34" s="285"/>
      <c r="GS34" s="285"/>
      <c r="GT34" s="285"/>
      <c r="GU34" s="285"/>
      <c r="GV34" s="88"/>
      <c r="GW34" s="88"/>
      <c r="GX34" s="88"/>
      <c r="GY34" s="88"/>
      <c r="GZ34" s="88"/>
      <c r="HA34" s="88"/>
      <c r="HB34" s="88"/>
      <c r="HC34" s="88"/>
      <c r="HD34" s="88" t="str">
        <f>IF($F33="Hybrid - Thrust + 2 connections",COUNTBLANK(J33:L33),"")</f>
        <v/>
      </c>
      <c r="HE34" s="88"/>
      <c r="HF34" s="91"/>
      <c r="HG34" s="91"/>
      <c r="HH34" s="91"/>
      <c r="HI34" s="91"/>
    </row>
    <row r="35" spans="1:222" ht="12.75" customHeight="1" x14ac:dyDescent="0.35">
      <c r="A35" s="28" t="str">
        <f>IF(AND(E33="",A33&lt;&gt;""),IF(CP33=$CP$18,"",IF(C33&lt;&gt;"",IF(D33=59,MINUTE(CP33)+1,MINUTE(CP33)),"")),"")</f>
        <v/>
      </c>
      <c r="B35" s="29" t="str">
        <f>IF(AND(E33="",B33&lt;&gt;""),IF(CP33=$CP$18,"",IF(C33&lt;&gt;"",IF(D33=59,0,SECOND(CP33)+1),"")),"")</f>
        <v/>
      </c>
      <c r="C35" s="39"/>
      <c r="D35" s="39"/>
      <c r="E35" s="9"/>
      <c r="F35" s="40"/>
      <c r="G35" s="31" t="str">
        <f>IF(F35&lt;&gt;"",IF(OR(F35="Transition",F35="Transition - Surface Connection"),0,MAX($G$19:G34)+1),"")</f>
        <v/>
      </c>
      <c r="H35" s="43" t="str">
        <f>IFERROR(IF(E36="3","",IF(OR(F35="Hybrid - Choreography (DD = 1)",LEFT(F35,5)="Trans"),"No DD",CONCATENATE("BM = ",I36))),"")</f>
        <v/>
      </c>
      <c r="I35" s="44"/>
      <c r="J35" s="109"/>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58"/>
      <c r="AO35" s="32"/>
      <c r="AP35" s="61"/>
      <c r="AQ35" s="61"/>
      <c r="AR35" s="90"/>
      <c r="AS35" s="90"/>
      <c r="AT35" s="90"/>
      <c r="AU35" s="90"/>
      <c r="AV35" s="90"/>
      <c r="AW35" s="91" t="str">
        <f t="shared" ref="AW35" si="973">E36</f>
        <v/>
      </c>
      <c r="AX35" s="94" t="str">
        <f t="shared" ref="AX35" si="974">IF(AY35=0,"",TIME(0,A35,B35))</f>
        <v/>
      </c>
      <c r="AY35" s="94">
        <f t="shared" ref="AY35" si="975">TIME(0,C35,D35)</f>
        <v>0</v>
      </c>
      <c r="AZ35" s="94" t="str">
        <f t="shared" ref="AZ35" si="976">IFERROR(AY35-AX35,"")</f>
        <v/>
      </c>
      <c r="BA35" s="237" t="str">
        <f t="shared" ref="BA35" si="977">IF($AX$17=0,"",IF(AND($C$10&lt;&gt;"",AW35="H",AZ35&gt;$AX$17),"X",""))</f>
        <v/>
      </c>
      <c r="BB35" s="90"/>
      <c r="BC35" s="90"/>
      <c r="BD35" s="90"/>
      <c r="BE35" s="90"/>
      <c r="BF35" s="90"/>
      <c r="BG35" s="90" t="str">
        <f>IFERROR(IF(F35&lt;&gt;"",INDEX(Parts_Active,MATCH(F35,Parts_Active,0)),""),"No")</f>
        <v/>
      </c>
      <c r="BH35" s="90"/>
      <c r="BI35" s="90" t="str">
        <f>IF($E36="H",IF($F35="Hybrid - Thrust + 2 connections","Hybrid_Mix_Req",IF($F35="Hybrid - Choreography (DD = 1)","Hybrid_ChoHY","HybridDD_Code")),IF($E36=3,"TreDD_Code",IF($E36="PA","AcroPair_Code",IF(LEFT($F35,4)="Acro",CONCATENATE(BI$16,$E36,"_Code"),"Data!$BI$1:$BI$5"))))</f>
        <v>Data!$BI$1:$BI$5</v>
      </c>
      <c r="BJ35" s="90" t="str">
        <f t="shared" ref="BJ35:BQ57" si="978">IF($E36="H",IF($F35="Hybrid - Thrust + 2 connections","Hybrid_Mix_Req",IF($F35="Hybrid - min 4 swimmers (no DD)","Data!$BI$1:$BI$5","HybridDD_Code")),IF($E36=3,"TreDD_Code",IF($E36="PA","AcroPair_Code",IF(LEFT($F35,4)="Acro",CONCATENATE(BJ$16,$E36,"_Code"),"Data!$BI$1:$BI$5"))))</f>
        <v>Data!$BI$1:$BI$5</v>
      </c>
      <c r="BK35" s="90" t="str">
        <f t="shared" si="978"/>
        <v>Data!$BI$1:$BI$5</v>
      </c>
      <c r="BL35" s="90" t="str">
        <f t="shared" si="978"/>
        <v>Data!$BI$1:$BI$5</v>
      </c>
      <c r="BM35" s="90" t="str">
        <f t="shared" si="978"/>
        <v>Data!$BI$1:$BI$5</v>
      </c>
      <c r="BN35" s="90" t="str">
        <f t="shared" si="978"/>
        <v>Data!$BI$1:$BI$5</v>
      </c>
      <c r="BO35" s="90" t="str">
        <f t="shared" si="978"/>
        <v>Data!$BI$1:$BI$5</v>
      </c>
      <c r="BP35" s="90" t="str">
        <f t="shared" si="978"/>
        <v>Data!$BI$1:$BI$5</v>
      </c>
      <c r="BQ35" s="90" t="str">
        <f t="shared" si="978"/>
        <v>Data!$BI$1:$BI$5</v>
      </c>
      <c r="BR35" s="90" t="str">
        <f t="shared" ref="BR35" si="979">IF($E36="H",IF($F35="Hybrid - Thrust + 2 connections","Data!$BI$1:$BI$5","HybridDD_Code"),"Data!$BI$1:$BI$5")</f>
        <v>Data!$BI$1:$BI$5</v>
      </c>
      <c r="BS35" s="90" t="str">
        <f t="shared" si="445"/>
        <v>Data!$BI$1:$BI$5</v>
      </c>
      <c r="BT35" s="90" t="str">
        <f t="shared" si="445"/>
        <v>Data!$BI$1:$BI$5</v>
      </c>
      <c r="BU35" s="90" t="str">
        <f t="shared" si="445"/>
        <v>Data!$BI$1:$BI$5</v>
      </c>
      <c r="BV35" s="90" t="str">
        <f t="shared" si="445"/>
        <v>Data!$BI$1:$BI$5</v>
      </c>
      <c r="BW35" s="90" t="str">
        <f t="shared" si="445"/>
        <v>Data!$BI$1:$BI$5</v>
      </c>
      <c r="BX35" s="90" t="str">
        <f t="shared" si="445"/>
        <v>Data!$BI$1:$BI$5</v>
      </c>
      <c r="BY35" s="90" t="str">
        <f t="shared" si="445"/>
        <v>Data!$BI$1:$BI$5</v>
      </c>
      <c r="BZ35" s="90" t="str">
        <f t="shared" si="445"/>
        <v>Data!$BI$1:$BI$5</v>
      </c>
      <c r="CA35" s="90" t="str">
        <f t="shared" si="445"/>
        <v>Data!$BI$1:$BI$5</v>
      </c>
      <c r="CB35" s="90" t="str">
        <f t="shared" si="445"/>
        <v>Data!$BI$1:$BI$5</v>
      </c>
      <c r="CC35" s="90" t="str">
        <f t="shared" si="445"/>
        <v>Data!$BI$1:$BI$5</v>
      </c>
      <c r="CD35" s="90" t="str">
        <f t="shared" si="445"/>
        <v>Data!$BI$1:$BI$5</v>
      </c>
      <c r="CE35" s="90" t="str">
        <f t="shared" si="445"/>
        <v>Data!$BI$1:$BI$5</v>
      </c>
      <c r="CF35" s="90" t="str">
        <f t="shared" si="445"/>
        <v>Data!$BI$1:$BI$5</v>
      </c>
      <c r="CG35" s="90" t="str">
        <f t="shared" si="445"/>
        <v>Data!$BI$1:$BI$5</v>
      </c>
      <c r="CH35" s="90" t="str">
        <f t="shared" si="445"/>
        <v>Data!$BI$1:$BI$5</v>
      </c>
      <c r="CI35" s="90" t="str">
        <f t="shared" ref="CI35:CL57" si="980">$BR35</f>
        <v>Data!$BI$1:$BI$5</v>
      </c>
      <c r="CJ35" s="90" t="str">
        <f t="shared" si="980"/>
        <v>Data!$BI$1:$BI$5</v>
      </c>
      <c r="CK35" s="90" t="str">
        <f t="shared" si="980"/>
        <v>Data!$BI$1:$BI$5</v>
      </c>
      <c r="CL35" s="90" t="str">
        <f t="shared" si="980"/>
        <v>Data!$BI$1:$BI$5</v>
      </c>
      <c r="CM35" s="90"/>
      <c r="CN35" s="90"/>
      <c r="CO35" s="93" t="str">
        <f>IFERROR(TIME(0,A35,B35),"")</f>
        <v/>
      </c>
      <c r="CP35" s="94">
        <f>IFERROR(TIME(0,C35,D35),"")</f>
        <v>0</v>
      </c>
      <c r="CQ35" s="94" t="str">
        <f t="shared" ref="CQ35" si="981">IF(CP35&gt;$D$12,"X","")</f>
        <v/>
      </c>
      <c r="CR35" s="88" t="str">
        <f>IF(AND(F35="Hybrid - Thrust + 2 connections",OR(LEFT(J35,1)="T",LEFT(K35,1)="T",LEFT(L35,1)="T",LEFT(PB35,1)="T",LEFT(M35,1)="T",LEFT(N35,1)="T",LEFT(O35,1)="T",LEFT(P35,1)="T",LEFT(Q35,1)="T",LEFT(R35,1)="T",LEFT(S35,1)="T",LEFT(T35,1)="T",LEFT(U35,1)="T",LEFT(V35,1)="T",LEFT(W35,1)="T",LEFT(X35,1)="T",LEFT(AK35,1)="T",LEFT(AL35,1)="T",LEFT(AM35,1)="T")),IF(OR(LEN(J35)=2,LEN(K35)=2,LEN(L35)=2,LEN(M35)=2,LEN(N35)=2,LEN(O35)=2,LEN(P35)=2,LEN(Q35)=2,LEN(R35)=2,LEN(S35)=2,LEN(T35)=2,LEN(U35)=2,LEN(V35)=2,LEN(W35)=2,LEN(X35)=2,LEN(Y35)=2,LEN(Z35)=2,LEN(AK35)=2,LEN(AL35)=2,LEN(AM35)=2),"X",""),"")</f>
        <v/>
      </c>
      <c r="CS35" s="91"/>
      <c r="CT35" s="88" t="str">
        <f>IF(LEFT(F35,4)="Acro",IF(AND(N35&lt;&gt;"",M35=RIGHT(N35,2)),"X","OK"),"")</f>
        <v/>
      </c>
      <c r="CU35" s="90" t="str">
        <f t="shared" ref="CU35:DB35" si="982">IFERROR(IF(AND(LEFT($F35,4)="Acro",INDEX(Requ_App,MATCH(BI35,Requ_Code,0))="No"),"X",""),"")</f>
        <v/>
      </c>
      <c r="CV35" s="90" t="str">
        <f t="shared" si="982"/>
        <v/>
      </c>
      <c r="CW35" s="90" t="str">
        <f t="shared" si="982"/>
        <v/>
      </c>
      <c r="CX35" s="90" t="str">
        <f t="shared" si="982"/>
        <v/>
      </c>
      <c r="CY35" s="90" t="str">
        <f t="shared" si="982"/>
        <v/>
      </c>
      <c r="CZ35" s="90" t="str">
        <f t="shared" si="982"/>
        <v/>
      </c>
      <c r="DA35" s="90" t="str">
        <f t="shared" si="982"/>
        <v/>
      </c>
      <c r="DB35" s="90" t="str">
        <f t="shared" si="982"/>
        <v/>
      </c>
      <c r="DC35" s="90" t="str">
        <f>IFERROR(IF(AND(LEFT($F35,4)="Acro",INDEX(Requ_App,MATCH(BP35,Requ_Code,0))="No"),"X",""),"")</f>
        <v/>
      </c>
      <c r="DD35" s="88" t="str">
        <f t="shared" si="10"/>
        <v/>
      </c>
      <c r="DE35" s="88" t="str">
        <f t="shared" si="11"/>
        <v/>
      </c>
      <c r="DF35" s="88" t="str">
        <f t="shared" si="12"/>
        <v/>
      </c>
      <c r="DG35" s="88" t="str">
        <f t="shared" si="13"/>
        <v/>
      </c>
      <c r="DK35" s="88">
        <f t="shared" ref="DK35" si="983">IF(AND(E36="A",OR(Q35="Grip",Q35="Conn",Q35="Catch")),"A1",IF(AND(E36="A",OR(Q35="Hula",Q35="RetSq",Q35="RetPa")),"A2",IF(AND(E36="B",OR(Q35="Twirl",Q35="RotF")),"B1",IF(AND(E36="B",OR(Q35="Moon",Q35="Mov",Q35="Hold")),"B2",IF(AND(E36="P",OR(Q35="Porp",Q35="Splch")),"P1",IF(AND(E36="P",OR(Q35="Diva",Q35="Stand")),"P2",IF(AND(E36="P",OR(Q35="Spider",Q35="Climb")),"P3",IF(AND(E36="P",OR(Q35="Fall",Q35="FTurn")),"P4",IF(AND(E36="C",OR(Q35="Jump",Q35="Jump&gt;",Q35="On1Foot",Q35="1F&gt;1F")),"C1",IF(AND(E36="C",OR(Q35="Run",Q35="BRun")),"C2",1))))))))))</f>
        <v>1</v>
      </c>
      <c r="DL35" s="88">
        <f t="shared" ref="DL35" si="984">IF(AND(E36="A",OR(R35="Grip",R35="Conn",R35="Catch")),"A1",IF(AND(E36="A",OR(R35="Hula",R35="RetSq",R35="RetPa")),"A2",IF(AND(E36="B",OR(R35="Twirl",R35="RotF")),"B1",IF(AND(E36="B",OR(R35="Moon",R35="Mov",R35="Hold")),"B2",IF(AND(E36="P",OR(R35="Porp",R35="Spich")),"P1",IF(AND(E36="P",OR(R35="Diva",R35="Stand")),"P2",IF(AND(E36="P",OR(R35="Spider",R35="Climb")),"P3",IF(AND(E36="P",OR(R35="Fall",R35="FTurn")),"P4",IF(AND(E36="C",OR(R35="Jump",R35="Jump&gt;",R35="On1Foot",R35="1F&gt;1F")),"C1",IF(AND(E36="C",OR(R35="Run",R35="BRun")),"C2",2))))))))))</f>
        <v>2</v>
      </c>
      <c r="DM35" s="88" t="str">
        <f t="shared" ref="DM35" si="985">IF(AND(N35="",OR(Q35&lt;&gt;"",R35&lt;&gt;"")),"X",IF(AND(LEFT(F35,4)="Acro",Q35&lt;&gt;"",OR(Q35=R35,DK35=DL35)),IF(R35="C-Roll","","X"),IF(OR(AND(E36="A",Q35="Catch",R35&lt;&gt;"Dbl"),AND(E36="A",R35="Catch",Q35&lt;&gt;"Dbl")),"X","")))</f>
        <v/>
      </c>
      <c r="DN35" s="88" t="str">
        <f>IF(E36="PA",J35,"")</f>
        <v/>
      </c>
      <c r="DO35" s="88">
        <v>17</v>
      </c>
      <c r="DQ35" s="88" t="str">
        <f>IF(AND($E36="A",COUNTIF($DZ$19:$EA$68,DZ35)&gt;1),DZ35,"")</f>
        <v/>
      </c>
      <c r="DR35" s="88" t="str">
        <f>IF(AND($E36="A",COUNTIF($DZ$19:$EA$68,EA35)&gt;1),EA35,"")</f>
        <v/>
      </c>
      <c r="DS35" s="88" t="str">
        <f ca="1">IF(AND($E36="B",COUNTIF($J$19:$J$68,J35)&gt;1),J35,"")</f>
        <v/>
      </c>
      <c r="DT35" s="88" t="str">
        <f ca="1">IF(AND($E36="B",COUNTIF($K$19:$K$68,K35)&gt;1),K35,"")</f>
        <v/>
      </c>
      <c r="DU35" s="88" t="str">
        <f ca="1">IF(AND($E36="C",COUNTIF($J$19:$J$68,J35)&gt;1),J35,"")</f>
        <v/>
      </c>
      <c r="DV35" s="88" t="str">
        <f ca="1">IF(AND($E36="P",COUNTIF($J$19:$J$68,J35)&gt;1),J35,"")</f>
        <v/>
      </c>
      <c r="DW35" s="88" t="str">
        <f ca="1">IF(AND($E36="P",COUNTIF($K$19:$K$68,K35)&gt;1),K35,"")</f>
        <v/>
      </c>
      <c r="DX35" s="88" t="str">
        <f>IF(AND($E36="P",COUNTIF($DZ$19:$EA$68,DZ35)&gt;1),DZ35,"")</f>
        <v/>
      </c>
      <c r="DY35" s="88" t="str">
        <f>IF(AND($E36="P",COUNTIF($DZ$19:$EA$68,EA35)&gt;1),EA35,"")</f>
        <v/>
      </c>
      <c r="DZ35" s="88" t="str">
        <f>IFERROR(IF(OR(E36="A",E36="P"),M35,""),"")</f>
        <v/>
      </c>
      <c r="EA35" s="88" t="str">
        <f>IFERROR(IF(OR(E36="A",E36="P"),RIGHT(N35,2),""),"")</f>
        <v/>
      </c>
      <c r="EB35" s="88" t="str">
        <f t="shared" ref="EB35" si="986">IF(Q35="","",IF(AND($E36="P",COUNTIF($Q$19:$R$68,Q35)&gt;1),Q35,""))</f>
        <v/>
      </c>
      <c r="EC35" s="88" t="str">
        <f t="shared" ref="EC35" si="987">IF(R35="","",IF(AND($E36="P",COUNTIF($Q$19:$R$68,R35)&gt;1),R35,""))</f>
        <v/>
      </c>
      <c r="ED35" s="88" t="str">
        <f t="shared" si="14"/>
        <v/>
      </c>
      <c r="EE35" s="88" t="str">
        <f t="shared" si="15"/>
        <v/>
      </c>
      <c r="EF35" s="88" t="str">
        <f t="shared" ref="EF35" si="988">IF(AND(OR($F$8="Open Team Acrobatic",$F$8="Open Team Technical"),LEFT(F35,4)="Acro"),E36,"")</f>
        <v/>
      </c>
      <c r="EG35" s="88" t="str">
        <f t="shared" ref="EG35" si="989">IF(EF35="","",IFERROR(IF($F$8="Open Team Acrobatic",IF(HLOOKUP(EF35,$DQ$12:$DT$13,2,FALSE)&gt;2,"X",""),IF(HLOOKUP(EF35,$DQ$12:$DT$13,2,FALSE)&gt;1,"X","")),""))</f>
        <v/>
      </c>
      <c r="EI35" s="88" t="str">
        <f t="shared" ref="EI35" si="990">IF(OR(AND(F35="Hybrid - Thrust + 2 connections",EI36="T"),AND(E36="H",EI36&lt;&gt;"",EI89="X")),"X","")</f>
        <v/>
      </c>
      <c r="EK35" s="88">
        <f t="shared" ref="EK35" si="991">IFERROR(IF(AND($E36="H",J35&lt;&gt;"",J35&lt;&gt;"ChoHY"),IF(OR(LEFT(J35,1)="T",LEFT(J35,1)="S",LEFT(J35,1)="A",LEFT(J35,1)="F",LEFT(J35,1)="C"),LEFT(J35,1),"R"),EK$18),"")</f>
        <v>1</v>
      </c>
      <c r="EL35" s="88">
        <f t="shared" ref="EL35" si="992">IFERROR(IF(AND($E36="H",K35&lt;&gt;""),IF(OR(LEFT(K35,1)="T",LEFT(K35,1)="S",LEFT(K35,1)="A",LEFT(K35,1)="F",LEFT(K35,1)="C"),LEFT(K35,1),"R"),EL$18),"")</f>
        <v>2</v>
      </c>
      <c r="EM35" s="88">
        <f t="shared" ref="EM35" si="993">IFERROR(IF(AND($E36="H",L35&lt;&gt;""),IF(OR(LEFT(L35,1)="T",LEFT(L35,1)="S",LEFT(L35,1)="A",LEFT(L35,1)="F",LEFT(L35,1)="C"),LEFT(L35,1),"R"),EM$18),"")</f>
        <v>3</v>
      </c>
      <c r="EN35" s="88">
        <f t="shared" ref="EN35" si="994">IFERROR(IF(AND($E36="H",M35&lt;&gt;""),IF(OR(LEFT(M35,1)="T",LEFT(M35,1)="S",LEFT(M35,1)="A",LEFT(M35,1)="F",LEFT(M35,1)="C"),LEFT(M35,1),"R"),EN$18),"")</f>
        <v>4</v>
      </c>
      <c r="EO35" s="88">
        <f t="shared" ref="EO35" si="995">IFERROR(IF(AND($E36="H",N35&lt;&gt;""),IF(OR(LEFT(N35,1)="T",LEFT(N35,1)="S",LEFT(N35,1)="A",LEFT(N35,1)="F",LEFT(N35,1)="C"),LEFT(N35,1),"R"),EO$18),"")</f>
        <v>5</v>
      </c>
      <c r="EP35" s="88">
        <f t="shared" ref="EP35" si="996">IFERROR(IF(AND($E36="H",O35&lt;&gt;""),IF(OR(LEFT(O35,1)="T",LEFT(O35,1)="S",LEFT(O35,1)="A",LEFT(O35,1)="F",LEFT(O35,1)="C"),LEFT(O35,1),"R"),EP$18),"")</f>
        <v>6</v>
      </c>
      <c r="EQ35" s="88">
        <f t="shared" ref="EQ35" si="997">IFERROR(IF(AND($E36="H",P35&lt;&gt;""),IF(OR(LEFT(P35,1)="T",LEFT(P35,1)="S",LEFT(P35,1)="A",LEFT(P35,1)="F",LEFT(P35,1)="C"),LEFT(P35,1),"R"),EQ$18),"")</f>
        <v>7</v>
      </c>
      <c r="ER35" s="88">
        <f t="shared" ref="ER35" si="998">IFERROR(IF(AND($E36="H",Q35&lt;&gt;""),IF(OR(LEFT(Q35,1)="T",LEFT(Q35,1)="S",LEFT(Q35,1)="A",LEFT(Q35,1)="F",LEFT(Q35,1)="C"),LEFT(Q35,1),"R"),ER$18),"")</f>
        <v>8</v>
      </c>
      <c r="ES35" s="88">
        <f t="shared" ref="ES35" si="999">IFERROR(IF(AND($E36="H",R35&lt;&gt;""),IF(OR(LEFT(R35,1)="T",LEFT(R35,1)="S",LEFT(R35,1)="A",LEFT(R35,1)="F",LEFT(R35,1)="C"),LEFT(R35,1),"R"),ES$18),"")</f>
        <v>9</v>
      </c>
      <c r="ET35" s="88">
        <f t="shared" ref="ET35" si="1000">IFERROR(IF(AND($E36="H",S35&lt;&gt;""),IF(OR(LEFT(S35,1)="T",LEFT(S35,1)="S",LEFT(S35,1)="A",LEFT(S35,1)="F",LEFT(S35,1)="C"),LEFT(S35,1),"R"),ET$18),"")</f>
        <v>10</v>
      </c>
      <c r="EU35" s="88">
        <f t="shared" ref="EU35" si="1001">IFERROR(IF(AND($E36="H",T35&lt;&gt;""),IF(OR(LEFT(T35,1)="T",LEFT(T35,1)="S",LEFT(T35,1)="A",LEFT(T35,1)="F",LEFT(T35,1)="C"),LEFT(T35,1),"R"),EU$18),"")</f>
        <v>11</v>
      </c>
      <c r="EV35" s="88">
        <f t="shared" ref="EV35" si="1002">IFERROR(IF(AND($E36="H",U35&lt;&gt;""),IF(OR(LEFT(U35,1)="T",LEFT(U35,1)="S",LEFT(U35,1)="A",LEFT(U35,1)="F",LEFT(U35,1)="C"),LEFT(U35,1),"R"),EV$18),"")</f>
        <v>12</v>
      </c>
      <c r="EW35" s="88">
        <f t="shared" ref="EW35" si="1003">IFERROR(IF(AND($E36="H",V35&lt;&gt;""),IF(OR(LEFT(V35,1)="T",LEFT(V35,1)="S",LEFT(V35,1)="A",LEFT(V35,1)="F",LEFT(V35,1)="C"),LEFT(V35,1),"R"),EW$18),"")</f>
        <v>13</v>
      </c>
      <c r="EX35" s="88">
        <f t="shared" ref="EX35" si="1004">IFERROR(IF(AND($E36="H",W35&lt;&gt;""),IF(OR(LEFT(W35,1)="T",LEFT(W35,1)="S",LEFT(W35,1)="A",LEFT(W35,1)="F",LEFT(W35,1)="C"),LEFT(W35,1),"R"),EX$18),"")</f>
        <v>14</v>
      </c>
      <c r="EY35" s="88">
        <f t="shared" ref="EY35" si="1005">IFERROR(IF(AND($E36="H",X35&lt;&gt;""),IF(OR(LEFT(X35,1)="T",LEFT(X35,1)="S",LEFT(X35,1)="A",LEFT(X35,1)="F",LEFT(X35,1)="C"),LEFT(X35,1),"R"),EY$18),"")</f>
        <v>15</v>
      </c>
      <c r="EZ35" s="88">
        <f t="shared" ref="EZ35" si="1006">IFERROR(IF(AND($E36="H",Y35&lt;&gt;""),IF(OR(LEFT(Y35,1)="T",LEFT(Y35,1)="S",LEFT(Y35,1)="A",LEFT(Y35,1)="F",LEFT(Y35,1)="C"),LEFT(Y35,1),"R"),EZ$18),"")</f>
        <v>16</v>
      </c>
      <c r="FA35" s="88">
        <f t="shared" ref="FA35" si="1007">IFERROR(IF(AND($E36="H",Z35&lt;&gt;""),IF(OR(LEFT(Z35,1)="T",LEFT(Z35,1)="S",LEFT(Z35,1)="A",LEFT(Z35,1)="F",LEFT(Z35,1)="C"),LEFT(Z35,1),"R"),FA$18),"")</f>
        <v>17</v>
      </c>
      <c r="FB35" s="88">
        <f t="shared" ref="FB35" si="1008">IFERROR(IF(AND($E36="H",AA35&lt;&gt;""),IF(OR(LEFT(AA35,1)="T",LEFT(AA35,1)="S",LEFT(AA35,1)="A",LEFT(AA35,1)="F",LEFT(AA35,1)="C"),LEFT(AA35,1),"R"),FB$18),"")</f>
        <v>18</v>
      </c>
      <c r="FC35" s="88">
        <f t="shared" ref="FC35" si="1009">IFERROR(IF(AND($E36="H",AB35&lt;&gt;""),IF(OR(LEFT(AB35,1)="T",LEFT(AB35,1)="S",LEFT(AB35,1)="A",LEFT(AB35,1)="F",LEFT(AB35,1)="C"),LEFT(AB35,1),"R"),FC$18),"")</f>
        <v>19</v>
      </c>
      <c r="FD35" s="88">
        <f t="shared" ref="FD35" si="1010">IFERROR(IF(AND($E36="H",AC35&lt;&gt;""),IF(OR(LEFT(AC35,1)="T",LEFT(AC35,1)="S",LEFT(AC35,1)="A",LEFT(AC35,1)="F",LEFT(AC35,1)="C"),LEFT(AC35,1),"R"),FD$18),"")</f>
        <v>20</v>
      </c>
      <c r="FE35" s="88">
        <f t="shared" ref="FE35" si="1011">IFERROR(IF(AND($E36="H",AD35&lt;&gt;""),IF(OR(LEFT(AD35,1)="T",LEFT(AD35,1)="S",LEFT(AD35,1)="A",LEFT(AD35,1)="F",LEFT(AD35,1)="C"),LEFT(AD35,1),"R"),FE$18),"")</f>
        <v>21</v>
      </c>
      <c r="FF35" s="88">
        <f t="shared" ref="FF35" si="1012">IFERROR(IF(AND($E36="H",AE35&lt;&gt;""),IF(OR(LEFT(AE35,1)="T",LEFT(AE35,1)="S",LEFT(AE35,1)="A",LEFT(AE35,1)="F",LEFT(AE35,1)="C"),LEFT(AE35,1),"R"),FF$18),"")</f>
        <v>22</v>
      </c>
      <c r="FG35" s="88">
        <f t="shared" ref="FG35" si="1013">IFERROR(IF(AND($E36="H",AF35&lt;&gt;""),IF(OR(LEFT(AF35,1)="T",LEFT(AF35,1)="S",LEFT(AF35,1)="A",LEFT(AF35,1)="F",LEFT(AF35,1)="C"),LEFT(AF35,1),"R"),FG$18),"")</f>
        <v>23</v>
      </c>
      <c r="FH35" s="88">
        <f t="shared" ref="FH35" si="1014">IFERROR(IF(AND($E36="H",AG35&lt;&gt;""),IF(OR(LEFT(AG35,1)="T",LEFT(AG35,1)="S",LEFT(AG35,1)="A",LEFT(AG35,1)="F",LEFT(AG35,1)="C"),LEFT(AG35,1),"R"),FH$18),"")</f>
        <v>24</v>
      </c>
      <c r="FI35" s="88">
        <f t="shared" ref="FI35" si="1015">IFERROR(IF(AND($E36="H",AH35&lt;&gt;""),IF(OR(LEFT(AH35,1)="T",LEFT(AH35,1)="S",LEFT(AH35,1)="A",LEFT(AH35,1)="F",LEFT(AH35,1)="C"),LEFT(AH35,1),"R"),FI$18),"")</f>
        <v>25</v>
      </c>
      <c r="FJ35" s="88">
        <f t="shared" ref="FJ35" si="1016">IFERROR(IF(AND($E36="H",AI35&lt;&gt;""),IF(OR(LEFT(AI35,1)="T",LEFT(AI35,1)="S",LEFT(AI35,1)="A",LEFT(AI35,1)="F",LEFT(AI35,1)="C"),LEFT(AI35,1),"R"),FJ$18),"")</f>
        <v>26</v>
      </c>
      <c r="FK35" s="88">
        <f t="shared" ref="FK35" si="1017">IFERROR(IF(AND($E36="H",AJ35&lt;&gt;""),IF(OR(LEFT(AJ35,1)="T",LEFT(AJ35,1)="S",LEFT(AJ35,1)="A",LEFT(AJ35,1)="F",LEFT(AJ35,1)="C"),LEFT(AJ35,1),"R"),FK$18),"")</f>
        <v>27</v>
      </c>
      <c r="FL35" s="88">
        <f t="shared" ref="FL35" si="1018">IFERROR(IF(AND($E36="H",AK35&lt;&gt;""),IF(OR(LEFT(AK35,1)="T",LEFT(AK35,1)="S",LEFT(AK35,1)="A",LEFT(AK35,1)="F",LEFT(AK35,1)="C"),LEFT(AK35,1),"R"),FL$18),"")</f>
        <v>28</v>
      </c>
      <c r="FM35" s="88">
        <f t="shared" ref="FM35" si="1019">IFERROR(IF(AND($E36="H",AL35&lt;&gt;""),IF(OR(LEFT(AL35,1)="T",LEFT(AL35,1)="S",LEFT(AL35,1)="A",LEFT(AL35,1)="F",LEFT(AL35,1)="C"),LEFT(AL35,1),"R"),FM$18),"")</f>
        <v>29</v>
      </c>
      <c r="FN35" s="88">
        <f t="shared" ref="FN35" si="1020">IFERROR(IF(AND($E36="H",AM35&lt;&gt;""),IF(OR(LEFT(AM35,1)="T",LEFT(AM35,1)="S",LEFT(AM35,1)="A",LEFT(AM35,1)="F",LEFT(AM35,1)="C"),LEFT(AM35,1),"R"),FN$18),"")</f>
        <v>30</v>
      </c>
      <c r="FO35" s="88"/>
      <c r="FP35" s="88"/>
      <c r="FQ35" s="88"/>
      <c r="FR35" s="285"/>
      <c r="FS35" s="285"/>
      <c r="FT35" s="285"/>
      <c r="FU35" s="285"/>
      <c r="FV35" s="285"/>
      <c r="FW35" s="285"/>
      <c r="FX35" s="285"/>
      <c r="FY35" s="285"/>
      <c r="FZ35" s="285"/>
      <c r="GA35" s="285"/>
      <c r="GB35" s="285"/>
      <c r="GC35" s="285"/>
      <c r="GD35" s="285"/>
      <c r="GE35" s="285"/>
      <c r="GF35" s="285"/>
      <c r="GG35" s="285"/>
      <c r="GH35" s="285"/>
      <c r="GI35" s="285"/>
      <c r="GJ35" s="285"/>
      <c r="GK35" s="285"/>
      <c r="GL35" s="285"/>
      <c r="GM35" s="285"/>
      <c r="GN35" s="285"/>
      <c r="GO35" s="285"/>
      <c r="GP35" s="285"/>
      <c r="GQ35" s="285"/>
      <c r="GR35" s="285"/>
      <c r="GS35" s="285"/>
      <c r="GT35" s="285"/>
      <c r="GU35" s="285"/>
      <c r="GV35" s="88"/>
      <c r="GW35" s="88">
        <f t="shared" ref="GW35:HB57" si="1021">COUNTIF($EK35:$FN35,GW$18)</f>
        <v>0</v>
      </c>
      <c r="GX35" s="88">
        <f t="shared" si="1021"/>
        <v>0</v>
      </c>
      <c r="GY35" s="88">
        <f t="shared" si="1021"/>
        <v>0</v>
      </c>
      <c r="GZ35" s="88">
        <f t="shared" si="1021"/>
        <v>0</v>
      </c>
      <c r="HA35" s="88">
        <f t="shared" si="1021"/>
        <v>0</v>
      </c>
      <c r="HB35" s="88">
        <f t="shared" si="1021"/>
        <v>0</v>
      </c>
      <c r="HC35" s="88"/>
      <c r="HD35" s="88" t="str">
        <f t="shared" ref="HD35" si="1022">IF(AND($F35="Hybrid - Thrust + 2 connections",HD36=0,LEFT($J35,1)="C",LEFT($K35,1)="C",LEFT($L35,1)="C"),"X","")</f>
        <v/>
      </c>
      <c r="HE35" s="88"/>
      <c r="HF35" s="91"/>
      <c r="HG35" s="100"/>
      <c r="HH35" s="100"/>
      <c r="HI35" s="91" t="str">
        <f t="shared" ref="HI35" si="1023">IF(E36=3,IF(_xlfn.NUMBERVALUE(LEFT(J35,1))&gt;0,_xlfn.NUMBERVALUE(LEFT(J35,1)),""),"")</f>
        <v/>
      </c>
      <c r="HK35" s="91" t="str">
        <f t="shared" ref="HK35" si="1024">IF(OR(E36="B",E36="P"),E36,"")</f>
        <v/>
      </c>
      <c r="HL35" s="91" t="str">
        <f>IF(AND(J35&lt;&gt;"",HK35&lt;&gt;""),IF(HK35="B",MATCH(J35,AcroDD!$U$3:$AE$3,0),MATCH(J35,AcroDD!$U$30:$AC$30,0)),"")</f>
        <v/>
      </c>
      <c r="HM35" s="91" t="str">
        <f t="shared" ref="HM35" si="1025">IF(AND(K35&lt;&gt;"",HK35&lt;&gt;""),K35,"")</f>
        <v/>
      </c>
      <c r="HN35" s="91" t="str">
        <f>_xlfn.LET(_xlpm.lista,IF(HK35="B",INDEX(AcroDD!$T$4:$AE$23,0,HL35+1),INDEX(AcroDD!$T$31:$AC$50,0,HL35+1)),IF(AND(OR(HK35="B",HK35="P"),HL35&lt;&gt;"",HM35&lt;&gt;""),IF(ISNUMBER(MATCH(HM35,_xlpm.lista,0)),"OK","X"),""))</f>
        <v/>
      </c>
    </row>
    <row r="36" spans="1:222" ht="12.75" customHeight="1" x14ac:dyDescent="0.35">
      <c r="A36" s="28"/>
      <c r="B36" s="29"/>
      <c r="C36" s="29"/>
      <c r="D36" s="29"/>
      <c r="E36" s="17" t="str">
        <f t="shared" ref="E36" si="1026">IF(F35="Acrobatic - Pair","PA",IF(F35="Acrobatic Airborn","A",IF(F35="Acrobatic Balance","B",IF(F35="Acrobatic Combined","C",IF(F35="Acrobatic Platform","P",IF(F35="Technical Required Element",3,IF(LEFT(F35,4)="Hybr","H","")))))))</f>
        <v/>
      </c>
      <c r="F36" s="17" t="str">
        <f>IF(AND(F35="Hybrid - Thrust + 2 connections",CR35="X"),"Hybrid - Thrust",IF(OR(E36="A",E36="B",E36="C",E36="P"),"Acrobatic",""))</f>
        <v/>
      </c>
      <c r="G36" s="31"/>
      <c r="H36" s="182" t="str">
        <f t="shared" ref="H36" si="1027">IF(E36="PA",IF(OR(LEFT(J35,1)="L",LEFT(J35,1)="S"),"A-Pair-Lift",IF(OR(LEFT(J35,1)="W",LEFT(J35,1)="T"),"A-Pair-Throw",IF(LEFT(J35,1)="J","A-Pair-Jump","A-Pair"))),IF(OR(E36="A",E36="B",E36="C",E36="P"),CONCATENATE("Acro-",E36),""))</f>
        <v/>
      </c>
      <c r="I36" s="176" t="e">
        <f>IF(OR(F35="Hybrid - Choreography (DD = 1)",LEFT(F35,5)="Trans"),0,INDEX($BY$3:$BY$9,MATCH(E36,$BX$3:$BX$9,0)))</f>
        <v>#N/A</v>
      </c>
      <c r="J36" s="171">
        <f ca="1">IFERROR(IF($H35="No DD",IF(J35="ChoHY",1,0),IF(OR(ISBLANK(J35),J35="N/A"),0,INDEX(INDIRECT(BI36),MATCH(J35,INDIRECT(BI35),0)))),0)</f>
        <v>0</v>
      </c>
      <c r="K36" s="171">
        <f t="shared" ref="K36:Y36" ca="1" si="1028">IFERROR(IF($H35="No DD",0,IF(OR(ISBLANK(K35),K35="N/A"),0,INDEX(INDIRECT(BJ36),MATCH(K35,INDIRECT(BJ35),0)))),0)</f>
        <v>0</v>
      </c>
      <c r="L36" s="171">
        <f t="shared" ca="1" si="1028"/>
        <v>0</v>
      </c>
      <c r="M36" s="171">
        <f t="shared" ca="1" si="1028"/>
        <v>0</v>
      </c>
      <c r="N36" s="171">
        <f t="shared" ca="1" si="1028"/>
        <v>0</v>
      </c>
      <c r="O36" s="171">
        <f t="shared" ca="1" si="1028"/>
        <v>0</v>
      </c>
      <c r="P36" s="171">
        <f t="shared" ca="1" si="1028"/>
        <v>0</v>
      </c>
      <c r="Q36" s="171">
        <f t="shared" ca="1" si="1028"/>
        <v>0</v>
      </c>
      <c r="R36" s="171">
        <f t="shared" ca="1" si="1028"/>
        <v>0</v>
      </c>
      <c r="S36" s="171">
        <f t="shared" ca="1" si="1028"/>
        <v>0</v>
      </c>
      <c r="T36" s="171">
        <f t="shared" ca="1" si="1028"/>
        <v>0</v>
      </c>
      <c r="U36" s="171">
        <f t="shared" ca="1" si="1028"/>
        <v>0</v>
      </c>
      <c r="V36" s="171">
        <f t="shared" ca="1" si="1028"/>
        <v>0</v>
      </c>
      <c r="W36" s="171">
        <f t="shared" ca="1" si="1028"/>
        <v>0</v>
      </c>
      <c r="X36" s="171">
        <f t="shared" ca="1" si="1028"/>
        <v>0</v>
      </c>
      <c r="Y36" s="171">
        <f t="shared" ca="1" si="1028"/>
        <v>0</v>
      </c>
      <c r="Z36" s="171">
        <f t="shared" ref="Z36" ca="1" si="1029">IFERROR(IF($H35="No DD",0,IF(OR(ISBLANK(Z35),Z35="N/A"),0,INDEX(INDIRECT(BY36),MATCH(Z35,INDIRECT(BY35),0)))),0)</f>
        <v>0</v>
      </c>
      <c r="AA36" s="171">
        <f t="shared" ref="AA36" ca="1" si="1030">IFERROR(IF($H35="No DD",0,IF(OR(ISBLANK(AA35),AA35="N/A"),0,INDEX(INDIRECT(BZ36),MATCH(AA35,INDIRECT(BZ35),0)))),0)</f>
        <v>0</v>
      </c>
      <c r="AB36" s="171">
        <f t="shared" ref="AB36" ca="1" si="1031">IFERROR(IF($H35="No DD",0,IF(OR(ISBLANK(AB35),AB35="N/A"),0,INDEX(INDIRECT(CA36),MATCH(AB35,INDIRECT(CA35),0)))),0)</f>
        <v>0</v>
      </c>
      <c r="AC36" s="171">
        <f t="shared" ref="AC36" ca="1" si="1032">IFERROR(IF($H35="No DD",0,IF(OR(ISBLANK(AC35),AC35="N/A"),0,INDEX(INDIRECT(CB36),MATCH(AC35,INDIRECT(CB35),0)))),0)</f>
        <v>0</v>
      </c>
      <c r="AD36" s="171">
        <f t="shared" ref="AD36" ca="1" si="1033">IFERROR(IF($H35="No DD",0,IF(OR(ISBLANK(AD35),AD35="N/A"),0,INDEX(INDIRECT(CC36),MATCH(AD35,INDIRECT(CC35),0)))),0)</f>
        <v>0</v>
      </c>
      <c r="AE36" s="171">
        <f t="shared" ref="AE36" ca="1" si="1034">IFERROR(IF($H35="No DD",0,IF(OR(ISBLANK(AE35),AE35="N/A"),0,INDEX(INDIRECT(CD36),MATCH(AE35,INDIRECT(CD35),0)))),0)</f>
        <v>0</v>
      </c>
      <c r="AF36" s="171">
        <f t="shared" ref="AF36" ca="1" si="1035">IFERROR(IF($H35="No DD",0,IF(OR(ISBLANK(AF35),AF35="N/A"),0,INDEX(INDIRECT(CE36),MATCH(AF35,INDIRECT(CE35),0)))),0)</f>
        <v>0</v>
      </c>
      <c r="AG36" s="171">
        <f t="shared" ref="AG36" ca="1" si="1036">IFERROR(IF($H35="No DD",0,IF(OR(ISBLANK(AG35),AG35="N/A"),0,INDEX(INDIRECT(CF36),MATCH(AG35,INDIRECT(CF35),0)))),0)</f>
        <v>0</v>
      </c>
      <c r="AH36" s="171">
        <f t="shared" ref="AH36" ca="1" si="1037">IFERROR(IF($H35="No DD",0,IF(OR(ISBLANK(AH35),AH35="N/A"),0,INDEX(INDIRECT(CG36),MATCH(AH35,INDIRECT(CG35),0)))),0)</f>
        <v>0</v>
      </c>
      <c r="AI36" s="171">
        <f t="shared" ref="AI36" ca="1" si="1038">IFERROR(IF($H35="No DD",0,IF(OR(ISBLANK(AI35),AI35="N/A"),0,INDEX(INDIRECT(CH36),MATCH(AI35,INDIRECT(CH35),0)))),0)</f>
        <v>0</v>
      </c>
      <c r="AJ36" s="171">
        <f t="shared" ref="AJ36" ca="1" si="1039">IFERROR(IF($H35="No DD",0,IF(OR(ISBLANK(AJ35),AJ35="N/A"),0,INDEX(INDIRECT(CI36),MATCH(AJ35,INDIRECT(CI35),0)))),0)</f>
        <v>0</v>
      </c>
      <c r="AK36" s="171">
        <f t="shared" ref="AK36" ca="1" si="1040">IFERROR(IF($H35="No DD",0,IF(OR(ISBLANK(AK35),AK35="N/A"),0,INDEX(INDIRECT(CJ36),MATCH(AK35,INDIRECT(CJ35),0)))),0)</f>
        <v>0</v>
      </c>
      <c r="AL36" s="171">
        <f t="shared" ref="AL36" ca="1" si="1041">IFERROR(IF($H35="No DD",0,IF(OR(ISBLANK(AL35),AL35="N/A"),0,INDEX(INDIRECT(CK36),MATCH(AL35,INDIRECT(CK35),0)))),0)</f>
        <v>0</v>
      </c>
      <c r="AM36" s="171">
        <f t="shared" ref="AM36" ca="1" si="1042">IFERROR(IF($H35="No DD",0,IF(OR(ISBLANK(AM35),AM35="N/A"),0,INDEX(INDIRECT(CL36),MATCH(AM35,INDIRECT(CL35),0)))),0)</f>
        <v>0</v>
      </c>
      <c r="AN36" s="172" t="str">
        <f>IFERROR(IF(E36="H",INDEX(HybridBonus_Value,MATCH(AN35,HybridBonus_Code,0)),""),"")</f>
        <v/>
      </c>
      <c r="AO36" s="276" t="str">
        <f t="shared" ref="AO36" si="1043">IFERROR(SUM(I36:AN36),"")</f>
        <v/>
      </c>
      <c r="AP36" s="62"/>
      <c r="AQ36" s="62"/>
      <c r="AR36" s="101"/>
      <c r="AS36" s="101"/>
      <c r="AT36" s="101"/>
      <c r="AU36" s="101"/>
      <c r="AV36" s="101"/>
      <c r="BA36" s="90"/>
      <c r="BB36" s="101"/>
      <c r="BC36" s="101"/>
      <c r="BD36" s="101"/>
      <c r="BE36" s="101"/>
      <c r="BF36" s="101"/>
      <c r="BG36" s="90"/>
      <c r="BH36" s="101"/>
      <c r="BI36" s="91" t="str">
        <f t="shared" ref="BI36" si="1044">IF($E36="H",IF($F35="Hybrid - Thrust + 2 connections","Hybrid_Mix_Req_Value","HybridDD_Value"),IF($E36=3,"TreDD_Value",IF($E36="PA","AcroPair_Value",IF(LEFT($F35,4)="Acro",CONCATENATE(BI$16,$E36,"_Value"),""))))</f>
        <v/>
      </c>
      <c r="BJ36" s="91" t="str">
        <f t="shared" ref="BJ36" si="1045">IF($E36="H",IF($F35="Hybrid - Thrust + 2 connections","Hybrid_Mix_Req_Value","HybridDD_Value"),IF($E36=3,"TreDD_Value",IF($E36="PA","AcroPair_Value",IF(LEFT($F35,4)="Acro",CONCATENATE(BJ$16,$E36,"_Value"),""))))</f>
        <v/>
      </c>
      <c r="BK36" s="91" t="str">
        <f t="shared" ref="BK36" si="1046">IF($E36="H",IF($F35="Hybrid - Thrust + 2 connections","Hybrid_Mix_Req_Value","HybridDD_Value"),IF($E36=3,"TreDD_Value",IF($E36="PA","AcroPair_Value",IF(LEFT($F35,4)="Acro",CONCATENATE(BK$16,$E36,"_Value"),""))))</f>
        <v/>
      </c>
      <c r="BL36" s="91" t="str">
        <f t="shared" ref="BL36" si="1047">IF($E36="H",IF($F35="Hybrid - Thrust + 2 connections","Hybrid_Mix_Req_Value","HybridDD_Value"),IF($E36=3,"TreDD_Value",IF($E36="PA","AcroPair_Value",IF(LEFT($F35,4)="Acro",CONCATENATE(BL$16,$E36,"_Value"),""))))</f>
        <v/>
      </c>
      <c r="BM36" s="91" t="str">
        <f t="shared" ref="BM36" si="1048">IF($E36="H",IF($F35="Hybrid - Thrust + 2 connections","Hybrid_Mix_Req_Value","HybridDD_Value"),IF($E36=3,"TreDD_Value",IF($E36="PA","AcroPair_Value",IF(LEFT($F35,4)="Acro",CONCATENATE(BM$16,$E36,"_Value"),""))))</f>
        <v/>
      </c>
      <c r="BN36" s="91" t="str">
        <f t="shared" ref="BN36" si="1049">IF($E36="H",IF($F35="Hybrid - Thrust + 2 connections","Hybrid_Mix_Req_Value","HybridDD_Value"),IF($E36=3,"TreDD_Value",IF($E36="PA","AcroPair_Value",IF(LEFT($F35,4)="Acro",CONCATENATE(BN$16,$E36,"_Value"),""))))</f>
        <v/>
      </c>
      <c r="BO36" s="91" t="str">
        <f t="shared" ref="BO36" si="1050">IF($E36="H",IF($F35="Hybrid - Thrust + 2 connections","Hybrid_Mix_Req_Value","HybridDD_Value"),IF($E36=3,"TreDD_Value",IF($E36="PA","AcroPair_Value",IF(LEFT($F35,4)="Acro",CONCATENATE(BO$16,$E36,"_Value"),""))))</f>
        <v/>
      </c>
      <c r="BP36" s="91" t="str">
        <f t="shared" ref="BP36" si="1051">IF($E36="H",IF($F35="Hybrid - Thrust + 2 connections","Hybrid_Mix_Req_Value","HybridDD_Value"),IF($E36=3,"TreDD_Value",IF($E36="PA","AcroPair_Value",IF(LEFT($F35,4)="Acro",CONCATENATE(BP$16,$E36,"_Value"),""))))</f>
        <v/>
      </c>
      <c r="BQ36" s="91" t="str">
        <f t="shared" ref="BQ36" si="1052">IF($E36="H",IF($F35="Hybrid - Thrust + 2 connections","Hybrid_Mix_Req_Value","HybridDD_Value"),IF($E36=3,"TreDD_Value",IF($E36="PA","AcroPair_Value",IF(LEFT($F35,4)="Acro",CONCATENATE(BQ$16,$E36,"_Value"),""))))</f>
        <v/>
      </c>
      <c r="BR36" s="90" t="str">
        <f t="shared" ref="BR36" si="1053">IF($E36="H",IF($F35="Hybrid - Thrust + 2 connections","Data!$BI$1:$BI$5","HybridDD_Value"),"Data!$BI$1:$BI$5")</f>
        <v>Data!$BI$1:$BI$5</v>
      </c>
      <c r="BS36" s="90" t="str">
        <f t="shared" ref="BS36" si="1054">IF($E36="H",IF($F35="Hybrid - Thrust + 2 connections","Data!$BI$1:$BI$5","HybridDD_Value"),"Data!$BI$1:$BI$5")</f>
        <v>Data!$BI$1:$BI$5</v>
      </c>
      <c r="BT36" s="90" t="str">
        <f t="shared" ref="BT36" si="1055">IF($E36="H",IF($F35="Hybrid - Thrust + 2 connections","Data!$BI$1:$BI$5","HybridDD_Value"),"Data!$BI$1:$BI$5")</f>
        <v>Data!$BI$1:$BI$5</v>
      </c>
      <c r="BU36" s="90" t="str">
        <f t="shared" ref="BU36" si="1056">IF($E36="H",IF($F35="Hybrid - Thrust + 2 connections","Data!$BI$1:$BI$5","HybridDD_Value"),"Data!$BI$1:$BI$5")</f>
        <v>Data!$BI$1:$BI$5</v>
      </c>
      <c r="BV36" s="90" t="str">
        <f t="shared" ref="BV36" si="1057">IF($E36="H",IF($F35="Hybrid - Thrust + 2 connections","Data!$BI$1:$BI$5","HybridDD_Value"),"Data!$BI$1:$BI$5")</f>
        <v>Data!$BI$1:$BI$5</v>
      </c>
      <c r="BW36" s="90" t="str">
        <f t="shared" ref="BW36" si="1058">IF($E36="H",IF($F35="Hybrid - Thrust + 2 connections","Data!$BI$1:$BI$5","HybridDD_Value"),"Data!$BI$1:$BI$5")</f>
        <v>Data!$BI$1:$BI$5</v>
      </c>
      <c r="BX36" s="90" t="str">
        <f t="shared" ref="BX36" si="1059">IF($E36="H",IF($F35="Hybrid - Thrust + 2 connections","Data!$BI$1:$BI$5","HybridDD_Value"),"Data!$BI$1:$BI$5")</f>
        <v>Data!$BI$1:$BI$5</v>
      </c>
      <c r="BY36" s="90" t="str">
        <f t="shared" ref="BY36" si="1060">IF($E36="H",IF($F35="Hybrid - Thrust + 2 connections","Data!$BI$1:$BI$5","HybridDD_Value"),"Data!$BI$1:$BI$5")</f>
        <v>Data!$BI$1:$BI$5</v>
      </c>
      <c r="BZ36" s="90" t="str">
        <f t="shared" ref="BZ36" si="1061">IF($E36="H",IF($F35="Hybrid - Thrust + 2 connections","Data!$BI$1:$BI$5","HybridDD_Value"),"Data!$BI$1:$BI$5")</f>
        <v>Data!$BI$1:$BI$5</v>
      </c>
      <c r="CA36" s="90" t="str">
        <f t="shared" ref="CA36" si="1062">IF($E36="H",IF($F35="Hybrid - Thrust + 2 connections","Data!$BI$1:$BI$5","HybridDD_Value"),"Data!$BI$1:$BI$5")</f>
        <v>Data!$BI$1:$BI$5</v>
      </c>
      <c r="CB36" s="90" t="str">
        <f t="shared" ref="CB36" si="1063">IF($E36="H",IF($F35="Hybrid - Thrust + 2 connections","Data!$BI$1:$BI$5","HybridDD_Value"),"Data!$BI$1:$BI$5")</f>
        <v>Data!$BI$1:$BI$5</v>
      </c>
      <c r="CC36" s="90" t="str">
        <f t="shared" ref="CC36" si="1064">IF($E36="H",IF($F35="Hybrid - Thrust + 2 connections","Data!$BI$1:$BI$5","HybridDD_Value"),"Data!$BI$1:$BI$5")</f>
        <v>Data!$BI$1:$BI$5</v>
      </c>
      <c r="CD36" s="90" t="str">
        <f t="shared" ref="CD36" si="1065">IF($E36="H",IF($F35="Hybrid - Thrust + 2 connections","Data!$BI$1:$BI$5","HybridDD_Value"),"Data!$BI$1:$BI$5")</f>
        <v>Data!$BI$1:$BI$5</v>
      </c>
      <c r="CE36" s="90" t="str">
        <f t="shared" ref="CE36" si="1066">IF($E36="H",IF($F35="Hybrid - Thrust + 2 connections","Data!$BI$1:$BI$5","HybridDD_Value"),"Data!$BI$1:$BI$5")</f>
        <v>Data!$BI$1:$BI$5</v>
      </c>
      <c r="CF36" s="90" t="str">
        <f t="shared" ref="CF36" si="1067">IF($E36="H",IF($F35="Hybrid - Thrust + 2 connections","Data!$BI$1:$BI$5","HybridDD_Value"),"Data!$BI$1:$BI$5")</f>
        <v>Data!$BI$1:$BI$5</v>
      </c>
      <c r="CG36" s="90" t="str">
        <f t="shared" ref="CG36" si="1068">IF($E36="H",IF($F35="Hybrid - Thrust + 2 connections","Data!$BI$1:$BI$5","HybridDD_Value"),"Data!$BI$1:$BI$5")</f>
        <v>Data!$BI$1:$BI$5</v>
      </c>
      <c r="CH36" s="90" t="str">
        <f t="shared" ref="CH36" si="1069">IF($E36="H",IF($F35="Hybrid - Thrust + 2 connections","Data!$BI$1:$BI$5","HybridDD_Value"),"Data!$BI$1:$BI$5")</f>
        <v>Data!$BI$1:$BI$5</v>
      </c>
      <c r="CI36" s="90" t="str">
        <f t="shared" ref="CI36" si="1070">IF($E36="H",IF($F35="Hybrid - Thrust + 2 connections","Data!$BI$1:$BI$5","HybridDD_Value"),"Data!$BI$1:$BI$5")</f>
        <v>Data!$BI$1:$BI$5</v>
      </c>
      <c r="CJ36" s="90" t="str">
        <f t="shared" ref="CJ36" si="1071">IF($E36="H",IF($F35="Hybrid - Thrust + 2 connections","Data!$BI$1:$BI$5","HybridDD_Value"),"Data!$BI$1:$BI$5")</f>
        <v>Data!$BI$1:$BI$5</v>
      </c>
      <c r="CK36" s="90" t="str">
        <f t="shared" ref="CK36" si="1072">IF($E36="H",IF($F35="Hybrid - Thrust + 2 connections","Data!$BI$1:$BI$5","HybridDD_Value"),"Data!$BI$1:$BI$5")</f>
        <v>Data!$BI$1:$BI$5</v>
      </c>
      <c r="CL36" s="90" t="str">
        <f t="shared" ref="CL36" si="1073">IF($E36="H",IF($F35="Hybrid - Thrust + 2 connections","Data!$BI$1:$BI$5","HybridDD_Value"),"Data!$BI$1:$BI$5")</f>
        <v>Data!$BI$1:$BI$5</v>
      </c>
      <c r="CM36" s="101"/>
      <c r="CN36" s="101"/>
      <c r="CO36" s="102" t="str">
        <f>IFERROR(IF(AND($BV$6="T",$BV$8="T",LEFT(F35,4)="Acro",AO36&gt;3),"X",IF($N$7="X",IF(AND(E36="C",AO36&gt;$CN$6),"X",IF(AND(E36="A",AO36&gt;$CN$4),"X",IF(AND(E36="B",AO36&gt;$CN$5),"X",IF(AND(E36="P",AO36&gt;$CN$7),"X","")))),"")),"")</f>
        <v/>
      </c>
      <c r="CP36" s="94"/>
      <c r="CQ36" s="91"/>
      <c r="CS36" s="91"/>
      <c r="CT36" s="91"/>
      <c r="CU36" s="91"/>
      <c r="CV36" s="91"/>
      <c r="CW36" s="91"/>
      <c r="CX36" s="91"/>
      <c r="CY36" s="91"/>
      <c r="CZ36" s="91"/>
      <c r="DD36" s="88" t="str">
        <f t="shared" si="10"/>
        <v/>
      </c>
      <c r="DE36" s="88" t="str">
        <f t="shared" si="11"/>
        <v/>
      </c>
      <c r="DF36" s="88" t="str">
        <f t="shared" si="12"/>
        <v/>
      </c>
      <c r="DG36" s="88" t="str">
        <f t="shared" si="13"/>
        <v/>
      </c>
      <c r="DO36" s="88">
        <v>18</v>
      </c>
      <c r="ED36" s="88" t="str">
        <f t="shared" si="14"/>
        <v/>
      </c>
      <c r="EE36" s="88" t="str">
        <f t="shared" si="15"/>
        <v/>
      </c>
      <c r="EI36" s="88" t="str" cm="1">
        <f t="array" ref="EI36">IFERROR(INDEX(EK36:FN36,MATCH(TRUE,INDEX((EK36:FN36&lt;&gt;""),),0)),"")</f>
        <v/>
      </c>
      <c r="EK36" s="88" t="str">
        <f t="shared" ref="EK36" si="1074">IF(F35="Hybrid - Thrust + 2 connections",IF(COUNTIF($EK35:$FN35,EK35)&gt;1,EK35,""),IF(COUNTIF($EK35:$FN35,EK35)&gt;5,EK35,""))</f>
        <v/>
      </c>
      <c r="EL36" s="88" t="str">
        <f t="shared" ref="EL36" si="1075">IF(G35="Hybrid - Thrust + 2 connections",IF(COUNTIF($EK35:$FN35,EL35)&gt;1,EL35,""),IF(COUNTIF($EK35:$FN35,EL35)&gt;5,EL35,""))</f>
        <v/>
      </c>
      <c r="EM36" s="88" t="str">
        <f t="shared" ref="EM36" si="1076">IF(H35="Hybrid - Thrust + 2 connections",IF(COUNTIF($EK35:$FN35,EM35)&gt;1,EM35,""),IF(COUNTIF($EK35:$FN35,EM35)&gt;5,EM35,""))</f>
        <v/>
      </c>
      <c r="EN36" s="88" t="str">
        <f t="shared" ref="EN36" si="1077">IF(I35="Hybrid - Thrust + 2 connections",IF(COUNTIF($EK35:$FN35,EN35)&gt;1,EN35,""),IF(COUNTIF($EK35:$FN35,EN35)&gt;5,EN35,""))</f>
        <v/>
      </c>
      <c r="EO36" s="88" t="str">
        <f t="shared" ref="EO36" si="1078">IF(J35="Hybrid - Thrust + 2 connections",IF(COUNTIF($EK35:$FN35,EO35)&gt;1,EO35,""),IF(COUNTIF($EK35:$FN35,EO35)&gt;5,EO35,""))</f>
        <v/>
      </c>
      <c r="EP36" s="88" t="str">
        <f t="shared" ref="EP36" si="1079">IF(K35="Hybrid - Thrust + 2 connections",IF(COUNTIF($EK35:$FN35,EP35)&gt;1,EP35,""),IF(COUNTIF($EK35:$FN35,EP35)&gt;5,EP35,""))</f>
        <v/>
      </c>
      <c r="EQ36" s="88" t="str">
        <f t="shared" ref="EQ36" si="1080">IF(L35="Hybrid - Thrust + 2 connections",IF(COUNTIF($EK35:$FN35,EQ35)&gt;1,EQ35,""),IF(COUNTIF($EK35:$FN35,EQ35)&gt;5,EQ35,""))</f>
        <v/>
      </c>
      <c r="ER36" s="88" t="str">
        <f t="shared" ref="ER36" si="1081">IF(M35="Hybrid - Thrust + 2 connections",IF(COUNTIF($EK35:$FN35,ER35)&gt;1,ER35,""),IF(COUNTIF($EK35:$FN35,ER35)&gt;5,ER35,""))</f>
        <v/>
      </c>
      <c r="ES36" s="88" t="str">
        <f t="shared" ref="ES36" si="1082">IF(N35="Hybrid - Thrust + 2 connections",IF(COUNTIF($EK35:$FN35,ES35)&gt;1,ES35,""),IF(COUNTIF($EK35:$FN35,ES35)&gt;5,ES35,""))</f>
        <v/>
      </c>
      <c r="ET36" s="88" t="str">
        <f t="shared" ref="ET36" si="1083">IF(O35="Hybrid - Thrust + 2 connections",IF(COUNTIF($EK35:$FN35,ET35)&gt;1,ET35,""),IF(COUNTIF($EK35:$FN35,ET35)&gt;5,ET35,""))</f>
        <v/>
      </c>
      <c r="EU36" s="88" t="str">
        <f t="shared" ref="EU36" si="1084">IF(P35="Hybrid - Thrust + 2 connections",IF(COUNTIF($EK35:$FN35,EU35)&gt;1,EU35,""),IF(COUNTIF($EK35:$FN35,EU35)&gt;5,EU35,""))</f>
        <v/>
      </c>
      <c r="EV36" s="88" t="str">
        <f t="shared" ref="EV36" si="1085">IF(Q35="Hybrid - Thrust + 2 connections",IF(COUNTIF($EK35:$FN35,EV35)&gt;1,EV35,""),IF(COUNTIF($EK35:$FN35,EV35)&gt;5,EV35,""))</f>
        <v/>
      </c>
      <c r="EW36" s="88" t="str">
        <f t="shared" ref="EW36" si="1086">IF(R35="Hybrid - Thrust + 2 connections",IF(COUNTIF($EK35:$FN35,EW35)&gt;1,EW35,""),IF(COUNTIF($EK35:$FN35,EW35)&gt;5,EW35,""))</f>
        <v/>
      </c>
      <c r="EX36" s="88" t="str">
        <f t="shared" ref="EX36" si="1087">IF(S35="Hybrid - Thrust + 2 connections",IF(COUNTIF($EK35:$FN35,EX35)&gt;1,EX35,""),IF(COUNTIF($EK35:$FN35,EX35)&gt;5,EX35,""))</f>
        <v/>
      </c>
      <c r="EY36" s="88" t="str">
        <f t="shared" ref="EY36" si="1088">IF(T35="Hybrid - Thrust + 2 connections",IF(COUNTIF($EK35:$FN35,EY35)&gt;1,EY35,""),IF(COUNTIF($EK35:$FN35,EY35)&gt;5,EY35,""))</f>
        <v/>
      </c>
      <c r="EZ36" s="88" t="str">
        <f t="shared" ref="EZ36" si="1089">IF(U35="Hybrid - Thrust + 2 connections",IF(COUNTIF($EK35:$FN35,EZ35)&gt;1,EZ35,""),IF(COUNTIF($EK35:$FN35,EZ35)&gt;5,EZ35,""))</f>
        <v/>
      </c>
      <c r="FA36" s="88" t="str">
        <f t="shared" ref="FA36" si="1090">IF(V35="Hybrid - Thrust + 2 connections",IF(COUNTIF($EK35:$FN35,FA35)&gt;1,FA35,""),IF(COUNTIF($EK35:$FN35,FA35)&gt;5,FA35,""))</f>
        <v/>
      </c>
      <c r="FB36" s="88" t="str">
        <f t="shared" ref="FB36" si="1091">IF(W35="Hybrid - Thrust + 2 connections",IF(COUNTIF($EK35:$FN35,FB35)&gt;1,FB35,""),IF(COUNTIF($EK35:$FN35,FB35)&gt;5,FB35,""))</f>
        <v/>
      </c>
      <c r="FC36" s="88" t="str">
        <f t="shared" ref="FC36" si="1092">IF(X35="Hybrid - Thrust + 2 connections",IF(COUNTIF($EK35:$FN35,FC35)&gt;1,FC35,""),IF(COUNTIF($EK35:$FN35,FC35)&gt;5,FC35,""))</f>
        <v/>
      </c>
      <c r="FD36" s="88" t="str">
        <f t="shared" ref="FD36" si="1093">IF(Y35="Hybrid - Thrust + 2 connections",IF(COUNTIF($EK35:$FN35,FD35)&gt;1,FD35,""),IF(COUNTIF($EK35:$FN35,FD35)&gt;5,FD35,""))</f>
        <v/>
      </c>
      <c r="FE36" s="88" t="str">
        <f t="shared" ref="FE36" si="1094">IF(Z35="Hybrid - Thrust + 2 connections",IF(COUNTIF($EK35:$FN35,FE35)&gt;1,FE35,""),IF(COUNTIF($EK35:$FN35,FE35)&gt;5,FE35,""))</f>
        <v/>
      </c>
      <c r="FF36" s="88" t="str">
        <f t="shared" ref="FF36" si="1095">IF(AA35="Hybrid - Thrust + 2 connections",IF(COUNTIF($EK35:$FN35,FF35)&gt;1,FF35,""),IF(COUNTIF($EK35:$FN35,FF35)&gt;5,FF35,""))</f>
        <v/>
      </c>
      <c r="FG36" s="88" t="str">
        <f t="shared" ref="FG36" si="1096">IF(AB35="Hybrid - Thrust + 2 connections",IF(COUNTIF($EK35:$FN35,FG35)&gt;1,FG35,""),IF(COUNTIF($EK35:$FN35,FG35)&gt;5,FG35,""))</f>
        <v/>
      </c>
      <c r="FH36" s="88" t="str">
        <f t="shared" ref="FH36" si="1097">IF(AC35="Hybrid - Thrust + 2 connections",IF(COUNTIF($EK35:$FN35,FH35)&gt;1,FH35,""),IF(COUNTIF($EK35:$FN35,FH35)&gt;5,FH35,""))</f>
        <v/>
      </c>
      <c r="FI36" s="88" t="str">
        <f t="shared" ref="FI36" si="1098">IF(AD35="Hybrid - Thrust + 2 connections",IF(COUNTIF($EK35:$FN35,FI35)&gt;1,FI35,""),IF(COUNTIF($EK35:$FN35,FI35)&gt;5,FI35,""))</f>
        <v/>
      </c>
      <c r="FJ36" s="88" t="str">
        <f t="shared" ref="FJ36" si="1099">IF(AE35="Hybrid - Thrust + 2 connections",IF(COUNTIF($EK35:$FN35,FJ35)&gt;1,FJ35,""),IF(COUNTIF($EK35:$FN35,FJ35)&gt;5,FJ35,""))</f>
        <v/>
      </c>
      <c r="FK36" s="88" t="str">
        <f t="shared" ref="FK36" si="1100">IF(AF35="Hybrid - Thrust + 2 connections",IF(COUNTIF($EK35:$FN35,FK35)&gt;1,FK35,""),IF(COUNTIF($EK35:$FN35,FK35)&gt;5,FK35,""))</f>
        <v/>
      </c>
      <c r="FL36" s="88" t="str">
        <f t="shared" ref="FL36" si="1101">IF(AG35="Hybrid - Thrust + 2 connections",IF(COUNTIF($EK35:$FN35,FL35)&gt;1,FL35,""),IF(COUNTIF($EK35:$FN35,FL35)&gt;5,FL35,""))</f>
        <v/>
      </c>
      <c r="FM36" s="88" t="str">
        <f t="shared" ref="FM36" si="1102">IF(AH35="Hybrid - Thrust + 2 connections",IF(COUNTIF($EK35:$FN35,FM35)&gt;1,FM35,""),IF(COUNTIF($EK35:$FN35,FM35)&gt;5,FM35,""))</f>
        <v/>
      </c>
      <c r="FN36" s="88" t="str">
        <f t="shared" ref="FN36" si="1103">IF(AI35="Hybrid - Thrust + 2 connections",IF(COUNTIF($EK35:$FN35,FN35)&gt;1,FN35,""),IF(COUNTIF($EK35:$FN35,FN35)&gt;5,FN35,""))</f>
        <v/>
      </c>
      <c r="FO36" s="88">
        <f t="shared" ref="FO36" si="1104">FO34+5</f>
        <v>40</v>
      </c>
      <c r="FP36" s="88" t="str" cm="1">
        <f t="array" ref="FP36">IF(FQ36&lt;&gt;"",LEFT(FQ36,FIND("*",FQ36)-1),INDEX($FP$75:$FP$172,FO36+1))</f>
        <v/>
      </c>
      <c r="FQ36" s="88" t="str" cm="1">
        <f t="array" ref="FQ36">INDEX($FQ$75:$FQ$172,FO36+1)</f>
        <v/>
      </c>
      <c r="FR36" s="285"/>
      <c r="FS36" s="285"/>
      <c r="FT36" s="285"/>
      <c r="FU36" s="285"/>
      <c r="FV36" s="285"/>
      <c r="FW36" s="285"/>
      <c r="FX36" s="285"/>
      <c r="FY36" s="285"/>
      <c r="FZ36" s="285"/>
      <c r="GA36" s="285"/>
      <c r="GB36" s="285"/>
      <c r="GC36" s="285"/>
      <c r="GD36" s="285"/>
      <c r="GE36" s="285"/>
      <c r="GF36" s="285"/>
      <c r="GG36" s="285"/>
      <c r="GH36" s="285"/>
      <c r="GI36" s="285"/>
      <c r="GJ36" s="285"/>
      <c r="GK36" s="285"/>
      <c r="GL36" s="285"/>
      <c r="GM36" s="285"/>
      <c r="GN36" s="285"/>
      <c r="GO36" s="285"/>
      <c r="GP36" s="285"/>
      <c r="GQ36" s="285"/>
      <c r="GR36" s="285"/>
      <c r="GS36" s="285"/>
      <c r="GT36" s="285"/>
      <c r="GU36" s="285"/>
      <c r="GV36" s="88"/>
      <c r="GW36" s="88"/>
      <c r="GX36" s="88"/>
      <c r="GY36" s="88"/>
      <c r="GZ36" s="88"/>
      <c r="HA36" s="88"/>
      <c r="HB36" s="88"/>
      <c r="HC36" s="88"/>
      <c r="HD36" s="88" t="str">
        <f>IF($F35="Hybrid - Thrust + 2 connections",COUNTBLANK(J35:L35),"")</f>
        <v/>
      </c>
      <c r="HE36" s="88"/>
      <c r="HF36" s="91"/>
      <c r="HG36" s="91"/>
      <c r="HH36" s="91"/>
      <c r="HI36" s="91"/>
    </row>
    <row r="37" spans="1:222" ht="12.75" customHeight="1" x14ac:dyDescent="0.35">
      <c r="A37" s="28" t="str">
        <f>IF(AND(E35="",A35&lt;&gt;""),IF(CP35=$CP$18,"",IF(C35&lt;&gt;"",IF(D35=59,MINUTE(CP35)+1,MINUTE(CP35)),"")),"")</f>
        <v/>
      </c>
      <c r="B37" s="29" t="str">
        <f>IF(AND(E35="",B35&lt;&gt;""),IF(CP35=$CP$18,"",IF(C35&lt;&gt;"",IF(D35=59,0,SECOND(CP35)+1),"")),"")</f>
        <v/>
      </c>
      <c r="C37" s="39"/>
      <c r="D37" s="39"/>
      <c r="E37" s="9"/>
      <c r="F37" s="40"/>
      <c r="G37" s="31" t="str">
        <f>IF(F37&lt;&gt;"",IF(OR(F37="Transition",F37="Transition - Surface Connection"),0,MAX($G$19:G36)+1),"")</f>
        <v/>
      </c>
      <c r="H37" s="43" t="str">
        <f>IFERROR(IF(E38="3","",IF(OR(F37="Hybrid - Choreography (DD = 1)",LEFT(F37,5)="Trans"),"No DD",CONCATENATE("BM = ",I38))),"")</f>
        <v/>
      </c>
      <c r="I37" s="44"/>
      <c r="J37" s="109"/>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58"/>
      <c r="AO37" s="32"/>
      <c r="AP37" s="61"/>
      <c r="AQ37" s="61"/>
      <c r="AR37" s="90"/>
      <c r="AS37" s="90"/>
      <c r="AT37" s="90"/>
      <c r="AU37" s="90"/>
      <c r="AV37" s="90"/>
      <c r="AW37" s="91" t="str">
        <f t="shared" ref="AW37" si="1105">E38</f>
        <v/>
      </c>
      <c r="AX37" s="94" t="str">
        <f t="shared" ref="AX37" si="1106">IF(AY37=0,"",TIME(0,A37,B37))</f>
        <v/>
      </c>
      <c r="AY37" s="94">
        <f t="shared" ref="AY37" si="1107">TIME(0,C37,D37)</f>
        <v>0</v>
      </c>
      <c r="AZ37" s="94" t="str">
        <f t="shared" ref="AZ37" si="1108">IFERROR(AY37-AX37,"")</f>
        <v/>
      </c>
      <c r="BA37" s="237" t="str">
        <f t="shared" ref="BA37" si="1109">IF($AX$17=0,"",IF(AND($C$10&lt;&gt;"",AW37="H",AZ37&gt;$AX$17),"X",""))</f>
        <v/>
      </c>
      <c r="BB37" s="90"/>
      <c r="BC37" s="90"/>
      <c r="BD37" s="90"/>
      <c r="BE37" s="90"/>
      <c r="BF37" s="90"/>
      <c r="BG37" s="90" t="str">
        <f>IFERROR(IF(F37&lt;&gt;"",INDEX(Parts_Active,MATCH(F37,Parts_Active,0)),""),"No")</f>
        <v/>
      </c>
      <c r="BH37" s="90"/>
      <c r="BI37" s="90" t="str">
        <f>IF($E38="H",IF($F37="Hybrid - Thrust + 2 connections","Hybrid_Mix_Req",IF($F37="Hybrid - Choreography (DD = 1)","Hybrid_ChoHY","HybridDD_Code")),IF($E38=3,"TreDD_Code",IF($E38="PA","AcroPair_Code",IF(LEFT($F37,4)="Acro",CONCATENATE(BI$16,$E38,"_Code"),"Data!$BI$1:$BI$5"))))</f>
        <v>Data!$BI$1:$BI$5</v>
      </c>
      <c r="BJ37" s="90" t="str">
        <f t="shared" ref="BJ37" si="1110">IF($E38="H",IF($F37="Hybrid - Thrust + 2 connections","Hybrid_Mix_Req",IF($F37="Hybrid - min 4 swimmers (no DD)","Data!$BI$1:$BI$5","HybridDD_Code")),IF($E38=3,"TreDD_Code",IF($E38="PA","AcroPair_Code",IF(LEFT($F37,4)="Acro",CONCATENATE(BJ$16,$E38,"_Code"),"Data!$BI$1:$BI$5"))))</f>
        <v>Data!$BI$1:$BI$5</v>
      </c>
      <c r="BK37" s="90" t="str">
        <f t="shared" si="978"/>
        <v>Data!$BI$1:$BI$5</v>
      </c>
      <c r="BL37" s="90" t="str">
        <f t="shared" si="978"/>
        <v>Data!$BI$1:$BI$5</v>
      </c>
      <c r="BM37" s="90" t="str">
        <f t="shared" si="978"/>
        <v>Data!$BI$1:$BI$5</v>
      </c>
      <c r="BN37" s="90" t="str">
        <f t="shared" si="978"/>
        <v>Data!$BI$1:$BI$5</v>
      </c>
      <c r="BO37" s="90" t="str">
        <f t="shared" si="978"/>
        <v>Data!$BI$1:$BI$5</v>
      </c>
      <c r="BP37" s="90" t="str">
        <f t="shared" si="978"/>
        <v>Data!$BI$1:$BI$5</v>
      </c>
      <c r="BQ37" s="90" t="str">
        <f t="shared" si="978"/>
        <v>Data!$BI$1:$BI$5</v>
      </c>
      <c r="BR37" s="90" t="str">
        <f t="shared" ref="BR37" si="1111">IF($E38="H",IF($F37="Hybrid - Thrust + 2 connections","Data!$BI$1:$BI$5","HybridDD_Code"),"Data!$BI$1:$BI$5")</f>
        <v>Data!$BI$1:$BI$5</v>
      </c>
      <c r="BS37" s="90" t="str">
        <f t="shared" si="445"/>
        <v>Data!$BI$1:$BI$5</v>
      </c>
      <c r="BT37" s="90" t="str">
        <f t="shared" si="445"/>
        <v>Data!$BI$1:$BI$5</v>
      </c>
      <c r="BU37" s="90" t="str">
        <f t="shared" si="445"/>
        <v>Data!$BI$1:$BI$5</v>
      </c>
      <c r="BV37" s="90" t="str">
        <f t="shared" si="445"/>
        <v>Data!$BI$1:$BI$5</v>
      </c>
      <c r="BW37" s="90" t="str">
        <f t="shared" si="445"/>
        <v>Data!$BI$1:$BI$5</v>
      </c>
      <c r="BX37" s="90" t="str">
        <f t="shared" si="445"/>
        <v>Data!$BI$1:$BI$5</v>
      </c>
      <c r="BY37" s="90" t="str">
        <f t="shared" si="445"/>
        <v>Data!$BI$1:$BI$5</v>
      </c>
      <c r="BZ37" s="90" t="str">
        <f t="shared" si="445"/>
        <v>Data!$BI$1:$BI$5</v>
      </c>
      <c r="CA37" s="90" t="str">
        <f t="shared" si="445"/>
        <v>Data!$BI$1:$BI$5</v>
      </c>
      <c r="CB37" s="90" t="str">
        <f t="shared" si="445"/>
        <v>Data!$BI$1:$BI$5</v>
      </c>
      <c r="CC37" s="90" t="str">
        <f t="shared" si="445"/>
        <v>Data!$BI$1:$BI$5</v>
      </c>
      <c r="CD37" s="90" t="str">
        <f t="shared" si="445"/>
        <v>Data!$BI$1:$BI$5</v>
      </c>
      <c r="CE37" s="90" t="str">
        <f t="shared" si="445"/>
        <v>Data!$BI$1:$BI$5</v>
      </c>
      <c r="CF37" s="90" t="str">
        <f t="shared" si="445"/>
        <v>Data!$BI$1:$BI$5</v>
      </c>
      <c r="CG37" s="90" t="str">
        <f t="shared" si="445"/>
        <v>Data!$BI$1:$BI$5</v>
      </c>
      <c r="CH37" s="90" t="str">
        <f t="shared" si="445"/>
        <v>Data!$BI$1:$BI$5</v>
      </c>
      <c r="CI37" s="90" t="str">
        <f t="shared" si="980"/>
        <v>Data!$BI$1:$BI$5</v>
      </c>
      <c r="CJ37" s="90" t="str">
        <f t="shared" si="980"/>
        <v>Data!$BI$1:$BI$5</v>
      </c>
      <c r="CK37" s="90" t="str">
        <f t="shared" si="980"/>
        <v>Data!$BI$1:$BI$5</v>
      </c>
      <c r="CL37" s="90" t="str">
        <f t="shared" si="980"/>
        <v>Data!$BI$1:$BI$5</v>
      </c>
      <c r="CM37" s="90"/>
      <c r="CN37" s="90"/>
      <c r="CO37" s="93" t="str">
        <f>IFERROR(TIME(0,A37,B37),"")</f>
        <v/>
      </c>
      <c r="CP37" s="94">
        <f>IFERROR(TIME(0,C37,D37),"")</f>
        <v>0</v>
      </c>
      <c r="CQ37" s="94" t="str">
        <f t="shared" ref="CQ37" si="1112">IF(CP37&gt;$D$12,"X","")</f>
        <v/>
      </c>
      <c r="CR37" s="88" t="str">
        <f>IF(AND(F37="Hybrid - Thrust + 2 connections",OR(LEFT(J37,1)="T",LEFT(K37,1)="T",LEFT(L37,1)="T",LEFT(PB37,1)="T",LEFT(M37,1)="T",LEFT(N37,1)="T",LEFT(O37,1)="T",LEFT(P37,1)="T",LEFT(Q37,1)="T",LEFT(R37,1)="T",LEFT(S37,1)="T",LEFT(T37,1)="T",LEFT(U37,1)="T",LEFT(V37,1)="T",LEFT(W37,1)="T",LEFT(X37,1)="T",LEFT(AK37,1)="T",LEFT(AL37,1)="T",LEFT(AM37,1)="T")),IF(OR(LEN(J37)=2,LEN(K37)=2,LEN(L37)=2,LEN(M37)=2,LEN(N37)=2,LEN(O37)=2,LEN(P37)=2,LEN(Q37)=2,LEN(R37)=2,LEN(S37)=2,LEN(T37)=2,LEN(U37)=2,LEN(V37)=2,LEN(W37)=2,LEN(X37)=2,LEN(Y37)=2,LEN(Z37)=2,LEN(AK37)=2,LEN(AL37)=2,LEN(AM37)=2),"X",""),"")</f>
        <v/>
      </c>
      <c r="CS37" s="91"/>
      <c r="CT37" s="88" t="str">
        <f>IF(LEFT(F37,4)="Acro",IF(AND(N37&lt;&gt;"",M37=RIGHT(N37,2)),"X","OK"),"")</f>
        <v/>
      </c>
      <c r="CU37" s="90" t="str">
        <f t="shared" ref="CU37:DB37" si="1113">IFERROR(IF(AND(LEFT($F37,4)="Acro",INDEX(Requ_App,MATCH(BI37,Requ_Code,0))="No"),"X",""),"")</f>
        <v/>
      </c>
      <c r="CV37" s="90" t="str">
        <f t="shared" si="1113"/>
        <v/>
      </c>
      <c r="CW37" s="90" t="str">
        <f t="shared" si="1113"/>
        <v/>
      </c>
      <c r="CX37" s="90" t="str">
        <f t="shared" si="1113"/>
        <v/>
      </c>
      <c r="CY37" s="90" t="str">
        <f t="shared" si="1113"/>
        <v/>
      </c>
      <c r="CZ37" s="90" t="str">
        <f t="shared" si="1113"/>
        <v/>
      </c>
      <c r="DA37" s="90" t="str">
        <f t="shared" si="1113"/>
        <v/>
      </c>
      <c r="DB37" s="90" t="str">
        <f t="shared" si="1113"/>
        <v/>
      </c>
      <c r="DC37" s="90" t="str">
        <f>IFERROR(IF(AND(LEFT($F37,4)="Acro",INDEX(Requ_App,MATCH(BP37,Requ_Code,0))="No"),"X",""),"")</f>
        <v/>
      </c>
      <c r="DD37" s="88" t="str">
        <f t="shared" si="10"/>
        <v/>
      </c>
      <c r="DE37" s="88" t="str">
        <f t="shared" si="11"/>
        <v/>
      </c>
      <c r="DF37" s="88" t="str">
        <f t="shared" si="12"/>
        <v/>
      </c>
      <c r="DG37" s="88" t="str">
        <f t="shared" si="13"/>
        <v/>
      </c>
      <c r="DK37" s="88">
        <f t="shared" ref="DK37" si="1114">IF(AND(E38="A",OR(Q37="Grip",Q37="Conn",Q37="Catch")),"A1",IF(AND(E38="A",OR(Q37="Hula",Q37="RetSq",Q37="RetPa")),"A2",IF(AND(E38="B",OR(Q37="Twirl",Q37="RotF")),"B1",IF(AND(E38="B",OR(Q37="Moon",Q37="Mov",Q37="Hold")),"B2",IF(AND(E38="P",OR(Q37="Porp",Q37="Splch")),"P1",IF(AND(E38="P",OR(Q37="Diva",Q37="Stand")),"P2",IF(AND(E38="P",OR(Q37="Spider",Q37="Climb")),"P3",IF(AND(E38="P",OR(Q37="Fall",Q37="FTurn")),"P4",IF(AND(E38="C",OR(Q37="Jump",Q37="Jump&gt;",Q37="On1Foot",Q37="1F&gt;1F")),"C1",IF(AND(E38="C",OR(Q37="Run",Q37="BRun")),"C2",1))))))))))</f>
        <v>1</v>
      </c>
      <c r="DL37" s="88">
        <f t="shared" ref="DL37" si="1115">IF(AND(E38="A",OR(R37="Grip",R37="Conn",R37="Catch")),"A1",IF(AND(E38="A",OR(R37="Hula",R37="RetSq",R37="RetPa")),"A2",IF(AND(E38="B",OR(R37="Twirl",R37="RotF")),"B1",IF(AND(E38="B",OR(R37="Moon",R37="Mov",R37="Hold")),"B2",IF(AND(E38="P",OR(R37="Porp",R37="Spich")),"P1",IF(AND(E38="P",OR(R37="Diva",R37="Stand")),"P2",IF(AND(E38="P",OR(R37="Spider",R37="Climb")),"P3",IF(AND(E38="P",OR(R37="Fall",R37="FTurn")),"P4",IF(AND(E38="C",OR(R37="Jump",R37="Jump&gt;",R37="On1Foot",R37="1F&gt;1F")),"C1",IF(AND(E38="C",OR(R37="Run",R37="BRun")),"C2",2))))))))))</f>
        <v>2</v>
      </c>
      <c r="DM37" s="88" t="str">
        <f t="shared" ref="DM37" si="1116">IF(AND(N37="",OR(Q37&lt;&gt;"",R37&lt;&gt;"")),"X",IF(AND(LEFT(F37,4)="Acro",Q37&lt;&gt;"",OR(Q37=R37,DK37=DL37)),IF(R37="C-Roll","","X"),IF(OR(AND(E38="A",Q37="Catch",R37&lt;&gt;"Dbl"),AND(E38="A",R37="Catch",Q37&lt;&gt;"Dbl")),"X","")))</f>
        <v/>
      </c>
      <c r="DN37" s="88" t="str">
        <f>IF(E38="PA",J37,"")</f>
        <v/>
      </c>
      <c r="DO37" s="88">
        <v>19</v>
      </c>
      <c r="DQ37" s="88" t="str">
        <f>IF(AND($E38="A",COUNTIF($DZ$19:$EA$68,DZ37)&gt;1),DZ37,"")</f>
        <v/>
      </c>
      <c r="DR37" s="88" t="str">
        <f>IF(AND($E38="A",COUNTIF($DZ$19:$EA$68,EA37)&gt;1),EA37,"")</f>
        <v/>
      </c>
      <c r="DS37" s="88" t="str">
        <f ca="1">IF(AND($E38="B",COUNTIF($J$19:$J$68,J37)&gt;1),J37,"")</f>
        <v/>
      </c>
      <c r="DT37" s="88" t="str">
        <f ca="1">IF(AND($E38="B",COUNTIF($K$19:$K$68,K37)&gt;1),K37,"")</f>
        <v/>
      </c>
      <c r="DU37" s="88" t="str">
        <f ca="1">IF(AND($E38="C",COUNTIF($J$19:$J$68,J37)&gt;1),J37,"")</f>
        <v/>
      </c>
      <c r="DV37" s="88" t="str">
        <f ca="1">IF(AND($E38="P",COUNTIF($J$19:$J$68,J37)&gt;1),J37,"")</f>
        <v/>
      </c>
      <c r="DW37" s="88" t="str">
        <f ca="1">IF(AND($E38="P",COUNTIF($K$19:$K$68,K37)&gt;1),K37,"")</f>
        <v/>
      </c>
      <c r="DX37" s="88" t="str">
        <f>IF(AND($E38="P",COUNTIF($DZ$19:$EA$68,DZ37)&gt;1),DZ37,"")</f>
        <v/>
      </c>
      <c r="DY37" s="88" t="str">
        <f>IF(AND($E38="P",COUNTIF($DZ$19:$EA$68,EA37)&gt;1),EA37,"")</f>
        <v/>
      </c>
      <c r="DZ37" s="88" t="str">
        <f>IFERROR(IF(OR(E38="A",E38="P"),M37,""),"")</f>
        <v/>
      </c>
      <c r="EA37" s="88" t="str">
        <f>IFERROR(IF(OR(E38="A",E38="P"),RIGHT(N37,2),""),"")</f>
        <v/>
      </c>
      <c r="EB37" s="88" t="str">
        <f t="shared" ref="EB37" si="1117">IF(Q37="","",IF(AND($E38="P",COUNTIF($Q$19:$R$68,Q37)&gt;1),Q37,""))</f>
        <v/>
      </c>
      <c r="EC37" s="88" t="str">
        <f t="shared" ref="EC37" si="1118">IF(R37="","",IF(AND($E38="P",COUNTIF($Q$19:$R$68,R37)&gt;1),R37,""))</f>
        <v/>
      </c>
      <c r="ED37" s="88" t="str">
        <f t="shared" si="14"/>
        <v/>
      </c>
      <c r="EE37" s="88" t="str">
        <f t="shared" si="15"/>
        <v/>
      </c>
      <c r="EF37" s="88" t="str">
        <f t="shared" ref="EF37" si="1119">IF(AND(OR($F$8="Open Team Acrobatic",$F$8="Open Team Technical"),LEFT(F37,4)="Acro"),E38,"")</f>
        <v/>
      </c>
      <c r="EG37" s="88" t="str">
        <f t="shared" ref="EG37" si="1120">IF(EF37="","",IFERROR(IF($F$8="Open Team Acrobatic",IF(HLOOKUP(EF37,$DQ$12:$DT$13,2,FALSE)&gt;2,"X",""),IF(HLOOKUP(EF37,$DQ$12:$DT$13,2,FALSE)&gt;1,"X","")),""))</f>
        <v/>
      </c>
      <c r="EI37" s="88" t="str">
        <f t="shared" ref="EI37" si="1121">IF(OR(AND(F37="Hybrid - Thrust + 2 connections",EI38="T"),AND(E38="H",EI38&lt;&gt;"",EI91="X")),"X","")</f>
        <v/>
      </c>
      <c r="EK37" s="88">
        <f t="shared" ref="EK37" si="1122">IFERROR(IF(AND($E38="H",J37&lt;&gt;"",J37&lt;&gt;"ChoHY"),IF(OR(LEFT(J37,1)="T",LEFT(J37,1)="S",LEFT(J37,1)="A",LEFT(J37,1)="F",LEFT(J37,1)="C"),LEFT(J37,1),"R"),EK$18),"")</f>
        <v>1</v>
      </c>
      <c r="EL37" s="88">
        <f t="shared" ref="EL37" si="1123">IFERROR(IF(AND($E38="H",K37&lt;&gt;""),IF(OR(LEFT(K37,1)="T",LEFT(K37,1)="S",LEFT(K37,1)="A",LEFT(K37,1)="F",LEFT(K37,1)="C"),LEFT(K37,1),"R"),EL$18),"")</f>
        <v>2</v>
      </c>
      <c r="EM37" s="88">
        <f t="shared" ref="EM37" si="1124">IFERROR(IF(AND($E38="H",L37&lt;&gt;""),IF(OR(LEFT(L37,1)="T",LEFT(L37,1)="S",LEFT(L37,1)="A",LEFT(L37,1)="F",LEFT(L37,1)="C"),LEFT(L37,1),"R"),EM$18),"")</f>
        <v>3</v>
      </c>
      <c r="EN37" s="88">
        <f t="shared" ref="EN37" si="1125">IFERROR(IF(AND($E38="H",M37&lt;&gt;""),IF(OR(LEFT(M37,1)="T",LEFT(M37,1)="S",LEFT(M37,1)="A",LEFT(M37,1)="F",LEFT(M37,1)="C"),LEFT(M37,1),"R"),EN$18),"")</f>
        <v>4</v>
      </c>
      <c r="EO37" s="88">
        <f t="shared" ref="EO37" si="1126">IFERROR(IF(AND($E38="H",N37&lt;&gt;""),IF(OR(LEFT(N37,1)="T",LEFT(N37,1)="S",LEFT(N37,1)="A",LEFT(N37,1)="F",LEFT(N37,1)="C"),LEFT(N37,1),"R"),EO$18),"")</f>
        <v>5</v>
      </c>
      <c r="EP37" s="88">
        <f t="shared" ref="EP37" si="1127">IFERROR(IF(AND($E38="H",O37&lt;&gt;""),IF(OR(LEFT(O37,1)="T",LEFT(O37,1)="S",LEFT(O37,1)="A",LEFT(O37,1)="F",LEFT(O37,1)="C"),LEFT(O37,1),"R"),EP$18),"")</f>
        <v>6</v>
      </c>
      <c r="EQ37" s="88">
        <f t="shared" ref="EQ37" si="1128">IFERROR(IF(AND($E38="H",P37&lt;&gt;""),IF(OR(LEFT(P37,1)="T",LEFT(P37,1)="S",LEFT(P37,1)="A",LEFT(P37,1)="F",LEFT(P37,1)="C"),LEFT(P37,1),"R"),EQ$18),"")</f>
        <v>7</v>
      </c>
      <c r="ER37" s="88">
        <f t="shared" ref="ER37" si="1129">IFERROR(IF(AND($E38="H",Q37&lt;&gt;""),IF(OR(LEFT(Q37,1)="T",LEFT(Q37,1)="S",LEFT(Q37,1)="A",LEFT(Q37,1)="F",LEFT(Q37,1)="C"),LEFT(Q37,1),"R"),ER$18),"")</f>
        <v>8</v>
      </c>
      <c r="ES37" s="88">
        <f t="shared" ref="ES37" si="1130">IFERROR(IF(AND($E38="H",R37&lt;&gt;""),IF(OR(LEFT(R37,1)="T",LEFT(R37,1)="S",LEFT(R37,1)="A",LEFT(R37,1)="F",LEFT(R37,1)="C"),LEFT(R37,1),"R"),ES$18),"")</f>
        <v>9</v>
      </c>
      <c r="ET37" s="88">
        <f t="shared" ref="ET37" si="1131">IFERROR(IF(AND($E38="H",S37&lt;&gt;""),IF(OR(LEFT(S37,1)="T",LEFT(S37,1)="S",LEFT(S37,1)="A",LEFT(S37,1)="F",LEFT(S37,1)="C"),LEFT(S37,1),"R"),ET$18),"")</f>
        <v>10</v>
      </c>
      <c r="EU37" s="88">
        <f t="shared" ref="EU37" si="1132">IFERROR(IF(AND($E38="H",T37&lt;&gt;""),IF(OR(LEFT(T37,1)="T",LEFT(T37,1)="S",LEFT(T37,1)="A",LEFT(T37,1)="F",LEFT(T37,1)="C"),LEFT(T37,1),"R"),EU$18),"")</f>
        <v>11</v>
      </c>
      <c r="EV37" s="88">
        <f t="shared" ref="EV37" si="1133">IFERROR(IF(AND($E38="H",U37&lt;&gt;""),IF(OR(LEFT(U37,1)="T",LEFT(U37,1)="S",LEFT(U37,1)="A",LEFT(U37,1)="F",LEFT(U37,1)="C"),LEFT(U37,1),"R"),EV$18),"")</f>
        <v>12</v>
      </c>
      <c r="EW37" s="88">
        <f t="shared" ref="EW37" si="1134">IFERROR(IF(AND($E38="H",V37&lt;&gt;""),IF(OR(LEFT(V37,1)="T",LEFT(V37,1)="S",LEFT(V37,1)="A",LEFT(V37,1)="F",LEFT(V37,1)="C"),LEFT(V37,1),"R"),EW$18),"")</f>
        <v>13</v>
      </c>
      <c r="EX37" s="88">
        <f t="shared" ref="EX37" si="1135">IFERROR(IF(AND($E38="H",W37&lt;&gt;""),IF(OR(LEFT(W37,1)="T",LEFT(W37,1)="S",LEFT(W37,1)="A",LEFT(W37,1)="F",LEFT(W37,1)="C"),LEFT(W37,1),"R"),EX$18),"")</f>
        <v>14</v>
      </c>
      <c r="EY37" s="88">
        <f t="shared" ref="EY37" si="1136">IFERROR(IF(AND($E38="H",X37&lt;&gt;""),IF(OR(LEFT(X37,1)="T",LEFT(X37,1)="S",LEFT(X37,1)="A",LEFT(X37,1)="F",LEFT(X37,1)="C"),LEFT(X37,1),"R"),EY$18),"")</f>
        <v>15</v>
      </c>
      <c r="EZ37" s="88">
        <f t="shared" ref="EZ37" si="1137">IFERROR(IF(AND($E38="H",Y37&lt;&gt;""),IF(OR(LEFT(Y37,1)="T",LEFT(Y37,1)="S",LEFT(Y37,1)="A",LEFT(Y37,1)="F",LEFT(Y37,1)="C"),LEFT(Y37,1),"R"),EZ$18),"")</f>
        <v>16</v>
      </c>
      <c r="FA37" s="88">
        <f t="shared" ref="FA37" si="1138">IFERROR(IF(AND($E38="H",Z37&lt;&gt;""),IF(OR(LEFT(Z37,1)="T",LEFT(Z37,1)="S",LEFT(Z37,1)="A",LEFT(Z37,1)="F",LEFT(Z37,1)="C"),LEFT(Z37,1),"R"),FA$18),"")</f>
        <v>17</v>
      </c>
      <c r="FB37" s="88">
        <f t="shared" ref="FB37" si="1139">IFERROR(IF(AND($E38="H",AA37&lt;&gt;""),IF(OR(LEFT(AA37,1)="T",LEFT(AA37,1)="S",LEFT(AA37,1)="A",LEFT(AA37,1)="F",LEFT(AA37,1)="C"),LEFT(AA37,1),"R"),FB$18),"")</f>
        <v>18</v>
      </c>
      <c r="FC37" s="88">
        <f t="shared" ref="FC37" si="1140">IFERROR(IF(AND($E38="H",AB37&lt;&gt;""),IF(OR(LEFT(AB37,1)="T",LEFT(AB37,1)="S",LEFT(AB37,1)="A",LEFT(AB37,1)="F",LEFT(AB37,1)="C"),LEFT(AB37,1),"R"),FC$18),"")</f>
        <v>19</v>
      </c>
      <c r="FD37" s="88">
        <f t="shared" ref="FD37" si="1141">IFERROR(IF(AND($E38="H",AC37&lt;&gt;""),IF(OR(LEFT(AC37,1)="T",LEFT(AC37,1)="S",LEFT(AC37,1)="A",LEFT(AC37,1)="F",LEFT(AC37,1)="C"),LEFT(AC37,1),"R"),FD$18),"")</f>
        <v>20</v>
      </c>
      <c r="FE37" s="88">
        <f t="shared" ref="FE37" si="1142">IFERROR(IF(AND($E38="H",AD37&lt;&gt;""),IF(OR(LEFT(AD37,1)="T",LEFT(AD37,1)="S",LEFT(AD37,1)="A",LEFT(AD37,1)="F",LEFT(AD37,1)="C"),LEFT(AD37,1),"R"),FE$18),"")</f>
        <v>21</v>
      </c>
      <c r="FF37" s="88">
        <f t="shared" ref="FF37" si="1143">IFERROR(IF(AND($E38="H",AE37&lt;&gt;""),IF(OR(LEFT(AE37,1)="T",LEFT(AE37,1)="S",LEFT(AE37,1)="A",LEFT(AE37,1)="F",LEFT(AE37,1)="C"),LEFT(AE37,1),"R"),FF$18),"")</f>
        <v>22</v>
      </c>
      <c r="FG37" s="88">
        <f t="shared" ref="FG37" si="1144">IFERROR(IF(AND($E38="H",AF37&lt;&gt;""),IF(OR(LEFT(AF37,1)="T",LEFT(AF37,1)="S",LEFT(AF37,1)="A",LEFT(AF37,1)="F",LEFT(AF37,1)="C"),LEFT(AF37,1),"R"),FG$18),"")</f>
        <v>23</v>
      </c>
      <c r="FH37" s="88">
        <f t="shared" ref="FH37" si="1145">IFERROR(IF(AND($E38="H",AG37&lt;&gt;""),IF(OR(LEFT(AG37,1)="T",LEFT(AG37,1)="S",LEFT(AG37,1)="A",LEFT(AG37,1)="F",LEFT(AG37,1)="C"),LEFT(AG37,1),"R"),FH$18),"")</f>
        <v>24</v>
      </c>
      <c r="FI37" s="88">
        <f t="shared" ref="FI37" si="1146">IFERROR(IF(AND($E38="H",AH37&lt;&gt;""),IF(OR(LEFT(AH37,1)="T",LEFT(AH37,1)="S",LEFT(AH37,1)="A",LEFT(AH37,1)="F",LEFT(AH37,1)="C"),LEFT(AH37,1),"R"),FI$18),"")</f>
        <v>25</v>
      </c>
      <c r="FJ37" s="88">
        <f t="shared" ref="FJ37" si="1147">IFERROR(IF(AND($E38="H",AI37&lt;&gt;""),IF(OR(LEFT(AI37,1)="T",LEFT(AI37,1)="S",LEFT(AI37,1)="A",LEFT(AI37,1)="F",LEFT(AI37,1)="C"),LEFT(AI37,1),"R"),FJ$18),"")</f>
        <v>26</v>
      </c>
      <c r="FK37" s="88">
        <f t="shared" ref="FK37" si="1148">IFERROR(IF(AND($E38="H",AJ37&lt;&gt;""),IF(OR(LEFT(AJ37,1)="T",LEFT(AJ37,1)="S",LEFT(AJ37,1)="A",LEFT(AJ37,1)="F",LEFT(AJ37,1)="C"),LEFT(AJ37,1),"R"),FK$18),"")</f>
        <v>27</v>
      </c>
      <c r="FL37" s="88">
        <f t="shared" ref="FL37" si="1149">IFERROR(IF(AND($E38="H",AK37&lt;&gt;""),IF(OR(LEFT(AK37,1)="T",LEFT(AK37,1)="S",LEFT(AK37,1)="A",LEFT(AK37,1)="F",LEFT(AK37,1)="C"),LEFT(AK37,1),"R"),FL$18),"")</f>
        <v>28</v>
      </c>
      <c r="FM37" s="88">
        <f t="shared" ref="FM37" si="1150">IFERROR(IF(AND($E38="H",AL37&lt;&gt;""),IF(OR(LEFT(AL37,1)="T",LEFT(AL37,1)="S",LEFT(AL37,1)="A",LEFT(AL37,1)="F",LEFT(AL37,1)="C"),LEFT(AL37,1),"R"),FM$18),"")</f>
        <v>29</v>
      </c>
      <c r="FN37" s="88">
        <f t="shared" ref="FN37" si="1151">IFERROR(IF(AND($E38="H",AM37&lt;&gt;""),IF(OR(LEFT(AM37,1)="T",LEFT(AM37,1)="S",LEFT(AM37,1)="A",LEFT(AM37,1)="F",LEFT(AM37,1)="C"),LEFT(AM37,1),"R"),FN$18),"")</f>
        <v>30</v>
      </c>
      <c r="FO37" s="88"/>
      <c r="FP37" s="88"/>
      <c r="FQ37" s="88"/>
      <c r="FR37" s="285"/>
      <c r="FS37" s="285"/>
      <c r="FT37" s="285"/>
      <c r="FU37" s="285"/>
      <c r="FV37" s="285"/>
      <c r="FW37" s="285"/>
      <c r="FX37" s="285"/>
      <c r="FY37" s="285"/>
      <c r="FZ37" s="285"/>
      <c r="GA37" s="285"/>
      <c r="GB37" s="285"/>
      <c r="GC37" s="285"/>
      <c r="GD37" s="285"/>
      <c r="GE37" s="285"/>
      <c r="GF37" s="285"/>
      <c r="GG37" s="285"/>
      <c r="GH37" s="285"/>
      <c r="GI37" s="285"/>
      <c r="GJ37" s="285"/>
      <c r="GK37" s="285"/>
      <c r="GL37" s="285"/>
      <c r="GM37" s="285"/>
      <c r="GN37" s="285"/>
      <c r="GO37" s="285"/>
      <c r="GP37" s="285"/>
      <c r="GQ37" s="285"/>
      <c r="GR37" s="285"/>
      <c r="GS37" s="285"/>
      <c r="GT37" s="285"/>
      <c r="GU37" s="285"/>
      <c r="GV37" s="88"/>
      <c r="GW37" s="88">
        <f t="shared" ref="GW37" si="1152">COUNTIF($EK37:$FN37,GW$18)</f>
        <v>0</v>
      </c>
      <c r="GX37" s="88">
        <f t="shared" si="1021"/>
        <v>0</v>
      </c>
      <c r="GY37" s="88">
        <f t="shared" si="1021"/>
        <v>0</v>
      </c>
      <c r="GZ37" s="88">
        <f t="shared" si="1021"/>
        <v>0</v>
      </c>
      <c r="HA37" s="88">
        <f t="shared" si="1021"/>
        <v>0</v>
      </c>
      <c r="HB37" s="88">
        <f t="shared" si="1021"/>
        <v>0</v>
      </c>
      <c r="HC37" s="88"/>
      <c r="HD37" s="88" t="str">
        <f t="shared" ref="HD37" si="1153">IF(AND($F37="Hybrid - Thrust + 2 connections",HD38=0,LEFT($J37,1)="C",LEFT($K37,1)="C",LEFT($L37,1)="C"),"X","")</f>
        <v/>
      </c>
      <c r="HE37" s="88"/>
      <c r="HF37" s="91"/>
      <c r="HG37" s="100"/>
      <c r="HH37" s="100"/>
      <c r="HI37" s="91" t="str">
        <f t="shared" ref="HI37" si="1154">IF(E38=3,IF(_xlfn.NUMBERVALUE(LEFT(J37,1))&gt;0,_xlfn.NUMBERVALUE(LEFT(J37,1)),""),"")</f>
        <v/>
      </c>
      <c r="HK37" s="91" t="str">
        <f t="shared" ref="HK37" si="1155">IF(OR(E38="B",E38="P"),E38,"")</f>
        <v/>
      </c>
      <c r="HL37" s="91" t="str">
        <f>IF(AND(J37&lt;&gt;"",HK37&lt;&gt;""),IF(HK37="B",MATCH(J37,AcroDD!$U$3:$AE$3,0),MATCH(J37,AcroDD!$U$30:$AC$30,0)),"")</f>
        <v/>
      </c>
      <c r="HM37" s="91" t="str">
        <f t="shared" ref="HM37" si="1156">IF(AND(K37&lt;&gt;"",HK37&lt;&gt;""),K37,"")</f>
        <v/>
      </c>
      <c r="HN37" s="91" t="str">
        <f>_xlfn.LET(_xlpm.lista,IF(HK37="B",INDEX(AcroDD!$T$4:$AE$23,0,HL37+1),INDEX(AcroDD!$T$31:$AC$50,0,HL37+1)),IF(AND(OR(HK37="B",HK37="P"),HL37&lt;&gt;"",HM37&lt;&gt;""),IF(ISNUMBER(MATCH(HM37,_xlpm.lista,0)),"OK","X"),""))</f>
        <v/>
      </c>
    </row>
    <row r="38" spans="1:222" ht="12.75" customHeight="1" x14ac:dyDescent="0.35">
      <c r="A38" s="28"/>
      <c r="B38" s="29"/>
      <c r="C38" s="29"/>
      <c r="D38" s="29"/>
      <c r="E38" s="17" t="str">
        <f>IF(F37="Acrobatic - Pair","PA",IF(F37="Acrobatic Airborn","A",IF(F37="Acrobatic Balance","B",IF(F37="Acrobatic Combined","C",IF(F37="Acrobatic Platform","P",IF(F37="Technical Required Element",3,IF(LEFT(F37,4)="Hybr","H","")))))))</f>
        <v/>
      </c>
      <c r="F38" s="17" t="str">
        <f>IF(AND(F37="Hybrid - Thrust + 2 connections",CR37="X"),"Hybrid - Thrust",IF(OR(E38="A",E38="B",E38="C",E38="P"),"Acrobatic",""))</f>
        <v/>
      </c>
      <c r="G38" s="31"/>
      <c r="H38" s="182" t="str">
        <f t="shared" ref="H38" si="1157">IF(E38="PA",IF(OR(LEFT(J37,1)="L",LEFT(J37,1)="S"),"A-Pair-Lift",IF(OR(LEFT(J37,1)="W",LEFT(J37,1)="T"),"A-Pair-Throw",IF(LEFT(J37,1)="J","A-Pair-Jump","A-Pair"))),IF(OR(E38="A",E38="B",E38="C",E38="P"),CONCATENATE("Acro-",E38),""))</f>
        <v/>
      </c>
      <c r="I38" s="176" t="e">
        <f>IF(OR(F37="Hybrid - Choreography (DD = 1)",LEFT(F37,5)="Trans"),0,INDEX($BY$3:$BY$9,MATCH(E38,$BX$3:$BX$9,0)))</f>
        <v>#N/A</v>
      </c>
      <c r="J38" s="171">
        <f ca="1">IFERROR(IF($H37="No DD",IF(J37="ChoHY",1,0),IF(OR(ISBLANK(J37),J37="N/A"),0,INDEX(INDIRECT(BI38),MATCH(J37,INDIRECT(BI37),0)))),0)</f>
        <v>0</v>
      </c>
      <c r="K38" s="171">
        <f t="shared" ref="K38:Y38" ca="1" si="1158">IFERROR(IF($H37="No DD",0,IF(OR(ISBLANK(K37),K37="N/A"),0,INDEX(INDIRECT(BJ38),MATCH(K37,INDIRECT(BJ37),0)))),0)</f>
        <v>0</v>
      </c>
      <c r="L38" s="171">
        <f t="shared" ca="1" si="1158"/>
        <v>0</v>
      </c>
      <c r="M38" s="171">
        <f t="shared" ca="1" si="1158"/>
        <v>0</v>
      </c>
      <c r="N38" s="171">
        <f t="shared" ca="1" si="1158"/>
        <v>0</v>
      </c>
      <c r="O38" s="171">
        <f t="shared" ca="1" si="1158"/>
        <v>0</v>
      </c>
      <c r="P38" s="171">
        <f t="shared" ca="1" si="1158"/>
        <v>0</v>
      </c>
      <c r="Q38" s="171">
        <f t="shared" ca="1" si="1158"/>
        <v>0</v>
      </c>
      <c r="R38" s="171">
        <f t="shared" ca="1" si="1158"/>
        <v>0</v>
      </c>
      <c r="S38" s="171">
        <f t="shared" ca="1" si="1158"/>
        <v>0</v>
      </c>
      <c r="T38" s="171">
        <f t="shared" ca="1" si="1158"/>
        <v>0</v>
      </c>
      <c r="U38" s="171">
        <f t="shared" ca="1" si="1158"/>
        <v>0</v>
      </c>
      <c r="V38" s="171">
        <f t="shared" ca="1" si="1158"/>
        <v>0</v>
      </c>
      <c r="W38" s="171">
        <f t="shared" ca="1" si="1158"/>
        <v>0</v>
      </c>
      <c r="X38" s="171">
        <f t="shared" ca="1" si="1158"/>
        <v>0</v>
      </c>
      <c r="Y38" s="171">
        <f t="shared" ca="1" si="1158"/>
        <v>0</v>
      </c>
      <c r="Z38" s="171">
        <f t="shared" ref="Z38" ca="1" si="1159">IFERROR(IF($H37="No DD",0,IF(OR(ISBLANK(Z37),Z37="N/A"),0,INDEX(INDIRECT(BY38),MATCH(Z37,INDIRECT(BY37),0)))),0)</f>
        <v>0</v>
      </c>
      <c r="AA38" s="171">
        <f t="shared" ref="AA38" ca="1" si="1160">IFERROR(IF($H37="No DD",0,IF(OR(ISBLANK(AA37),AA37="N/A"),0,INDEX(INDIRECT(BZ38),MATCH(AA37,INDIRECT(BZ37),0)))),0)</f>
        <v>0</v>
      </c>
      <c r="AB38" s="171">
        <f t="shared" ref="AB38" ca="1" si="1161">IFERROR(IF($H37="No DD",0,IF(OR(ISBLANK(AB37),AB37="N/A"),0,INDEX(INDIRECT(CA38),MATCH(AB37,INDIRECT(CA37),0)))),0)</f>
        <v>0</v>
      </c>
      <c r="AC38" s="171">
        <f t="shared" ref="AC38" ca="1" si="1162">IFERROR(IF($H37="No DD",0,IF(OR(ISBLANK(AC37),AC37="N/A"),0,INDEX(INDIRECT(CB38),MATCH(AC37,INDIRECT(CB37),0)))),0)</f>
        <v>0</v>
      </c>
      <c r="AD38" s="171">
        <f t="shared" ref="AD38" ca="1" si="1163">IFERROR(IF($H37="No DD",0,IF(OR(ISBLANK(AD37),AD37="N/A"),0,INDEX(INDIRECT(CC38),MATCH(AD37,INDIRECT(CC37),0)))),0)</f>
        <v>0</v>
      </c>
      <c r="AE38" s="171">
        <f t="shared" ref="AE38" ca="1" si="1164">IFERROR(IF($H37="No DD",0,IF(OR(ISBLANK(AE37),AE37="N/A"),0,INDEX(INDIRECT(CD38),MATCH(AE37,INDIRECT(CD37),0)))),0)</f>
        <v>0</v>
      </c>
      <c r="AF38" s="171">
        <f t="shared" ref="AF38" ca="1" si="1165">IFERROR(IF($H37="No DD",0,IF(OR(ISBLANK(AF37),AF37="N/A"),0,INDEX(INDIRECT(CE38),MATCH(AF37,INDIRECT(CE37),0)))),0)</f>
        <v>0</v>
      </c>
      <c r="AG38" s="171">
        <f t="shared" ref="AG38" ca="1" si="1166">IFERROR(IF($H37="No DD",0,IF(OR(ISBLANK(AG37),AG37="N/A"),0,INDEX(INDIRECT(CF38),MATCH(AG37,INDIRECT(CF37),0)))),0)</f>
        <v>0</v>
      </c>
      <c r="AH38" s="171">
        <f t="shared" ref="AH38" ca="1" si="1167">IFERROR(IF($H37="No DD",0,IF(OR(ISBLANK(AH37),AH37="N/A"),0,INDEX(INDIRECT(CG38),MATCH(AH37,INDIRECT(CG37),0)))),0)</f>
        <v>0</v>
      </c>
      <c r="AI38" s="171">
        <f t="shared" ref="AI38" ca="1" si="1168">IFERROR(IF($H37="No DD",0,IF(OR(ISBLANK(AI37),AI37="N/A"),0,INDEX(INDIRECT(CH38),MATCH(AI37,INDIRECT(CH37),0)))),0)</f>
        <v>0</v>
      </c>
      <c r="AJ38" s="171">
        <f t="shared" ref="AJ38" ca="1" si="1169">IFERROR(IF($H37="No DD",0,IF(OR(ISBLANK(AJ37),AJ37="N/A"),0,INDEX(INDIRECT(CI38),MATCH(AJ37,INDIRECT(CI37),0)))),0)</f>
        <v>0</v>
      </c>
      <c r="AK38" s="171">
        <f t="shared" ref="AK38" ca="1" si="1170">IFERROR(IF($H37="No DD",0,IF(OR(ISBLANK(AK37),AK37="N/A"),0,INDEX(INDIRECT(CJ38),MATCH(AK37,INDIRECT(CJ37),0)))),0)</f>
        <v>0</v>
      </c>
      <c r="AL38" s="171">
        <f t="shared" ref="AL38" ca="1" si="1171">IFERROR(IF($H37="No DD",0,IF(OR(ISBLANK(AL37),AL37="N/A"),0,INDEX(INDIRECT(CK38),MATCH(AL37,INDIRECT(CK37),0)))),0)</f>
        <v>0</v>
      </c>
      <c r="AM38" s="171">
        <f t="shared" ref="AM38" ca="1" si="1172">IFERROR(IF($H37="No DD",0,IF(OR(ISBLANK(AM37),AM37="N/A"),0,INDEX(INDIRECT(CL38),MATCH(AM37,INDIRECT(CL37),0)))),0)</f>
        <v>0</v>
      </c>
      <c r="AN38" s="172" t="str">
        <f>IFERROR(IF(E38="H",INDEX(HybridBonus_Value,MATCH(AN37,HybridBonus_Code,0)),""),"")</f>
        <v/>
      </c>
      <c r="AO38" s="276" t="str">
        <f t="shared" ref="AO38" si="1173">IFERROR(SUM(I38:AN38),"")</f>
        <v/>
      </c>
      <c r="AP38" s="62"/>
      <c r="AQ38" s="62"/>
      <c r="AR38" s="101"/>
      <c r="AS38" s="101"/>
      <c r="AT38" s="101"/>
      <c r="AU38" s="101"/>
      <c r="AV38" s="101"/>
      <c r="BA38" s="90"/>
      <c r="BB38" s="101"/>
      <c r="BC38" s="101"/>
      <c r="BD38" s="101"/>
      <c r="BE38" s="101"/>
      <c r="BF38" s="101"/>
      <c r="BG38" s="90"/>
      <c r="BH38" s="101"/>
      <c r="BI38" s="91" t="str">
        <f t="shared" ref="BI38" si="1174">IF($E38="H",IF($F37="Hybrid - Thrust + 2 connections","Hybrid_Mix_Req_Value","HybridDD_Value"),IF($E38=3,"TreDD_Value",IF($E38="PA","AcroPair_Value",IF(LEFT($F37,4)="Acro",CONCATENATE(BI$16,$E38,"_Value"),""))))</f>
        <v/>
      </c>
      <c r="BJ38" s="91" t="str">
        <f t="shared" ref="BJ38" si="1175">IF($E38="H",IF($F37="Hybrid - Thrust + 2 connections","Hybrid_Mix_Req_Value","HybridDD_Value"),IF($E38=3,"TreDD_Value",IF($E38="PA","AcroPair_Value",IF(LEFT($F37,4)="Acro",CONCATENATE(BJ$16,$E38,"_Value"),""))))</f>
        <v/>
      </c>
      <c r="BK38" s="91" t="str">
        <f t="shared" ref="BK38" si="1176">IF($E38="H",IF($F37="Hybrid - Thrust + 2 connections","Hybrid_Mix_Req_Value","HybridDD_Value"),IF($E38=3,"TreDD_Value",IF($E38="PA","AcroPair_Value",IF(LEFT($F37,4)="Acro",CONCATENATE(BK$16,$E38,"_Value"),""))))</f>
        <v/>
      </c>
      <c r="BL38" s="91" t="str">
        <f t="shared" ref="BL38" si="1177">IF($E38="H",IF($F37="Hybrid - Thrust + 2 connections","Hybrid_Mix_Req_Value","HybridDD_Value"),IF($E38=3,"TreDD_Value",IF($E38="PA","AcroPair_Value",IF(LEFT($F37,4)="Acro",CONCATENATE(BL$16,$E38,"_Value"),""))))</f>
        <v/>
      </c>
      <c r="BM38" s="91" t="str">
        <f t="shared" ref="BM38" si="1178">IF($E38="H",IF($F37="Hybrid - Thrust + 2 connections","Hybrid_Mix_Req_Value","HybridDD_Value"),IF($E38=3,"TreDD_Value",IF($E38="PA","AcroPair_Value",IF(LEFT($F37,4)="Acro",CONCATENATE(BM$16,$E38,"_Value"),""))))</f>
        <v/>
      </c>
      <c r="BN38" s="91" t="str">
        <f t="shared" ref="BN38" si="1179">IF($E38="H",IF($F37="Hybrid - Thrust + 2 connections","Hybrid_Mix_Req_Value","HybridDD_Value"),IF($E38=3,"TreDD_Value",IF($E38="PA","AcroPair_Value",IF(LEFT($F37,4)="Acro",CONCATENATE(BN$16,$E38,"_Value"),""))))</f>
        <v/>
      </c>
      <c r="BO38" s="91" t="str">
        <f t="shared" ref="BO38" si="1180">IF($E38="H",IF($F37="Hybrid - Thrust + 2 connections","Hybrid_Mix_Req_Value","HybridDD_Value"),IF($E38=3,"TreDD_Value",IF($E38="PA","AcroPair_Value",IF(LEFT($F37,4)="Acro",CONCATENATE(BO$16,$E38,"_Value"),""))))</f>
        <v/>
      </c>
      <c r="BP38" s="91" t="str">
        <f t="shared" ref="BP38" si="1181">IF($E38="H",IF($F37="Hybrid - Thrust + 2 connections","Hybrid_Mix_Req_Value","HybridDD_Value"),IF($E38=3,"TreDD_Value",IF($E38="PA","AcroPair_Value",IF(LEFT($F37,4)="Acro",CONCATENATE(BP$16,$E38,"_Value"),""))))</f>
        <v/>
      </c>
      <c r="BQ38" s="91" t="str">
        <f t="shared" ref="BQ38" si="1182">IF($E38="H",IF($F37="Hybrid - Thrust + 2 connections","Hybrid_Mix_Req_Value","HybridDD_Value"),IF($E38=3,"TreDD_Value",IF($E38="PA","AcroPair_Value",IF(LEFT($F37,4)="Acro",CONCATENATE(BQ$16,$E38,"_Value"),""))))</f>
        <v/>
      </c>
      <c r="BR38" s="90" t="str">
        <f t="shared" ref="BR38" si="1183">IF($E38="H",IF($F37="Hybrid - Thrust + 2 connections","Data!$BI$1:$BI$5","HybridDD_Value"),"Data!$BI$1:$BI$5")</f>
        <v>Data!$BI$1:$BI$5</v>
      </c>
      <c r="BS38" s="90" t="str">
        <f t="shared" ref="BS38" si="1184">IF($E38="H",IF($F37="Hybrid - Thrust + 2 connections","Data!$BI$1:$BI$5","HybridDD_Value"),"Data!$BI$1:$BI$5")</f>
        <v>Data!$BI$1:$BI$5</v>
      </c>
      <c r="BT38" s="90" t="str">
        <f t="shared" ref="BT38" si="1185">IF($E38="H",IF($F37="Hybrid - Thrust + 2 connections","Data!$BI$1:$BI$5","HybridDD_Value"),"Data!$BI$1:$BI$5")</f>
        <v>Data!$BI$1:$BI$5</v>
      </c>
      <c r="BU38" s="90" t="str">
        <f t="shared" ref="BU38" si="1186">IF($E38="H",IF($F37="Hybrid - Thrust + 2 connections","Data!$BI$1:$BI$5","HybridDD_Value"),"Data!$BI$1:$BI$5")</f>
        <v>Data!$BI$1:$BI$5</v>
      </c>
      <c r="BV38" s="90" t="str">
        <f t="shared" ref="BV38" si="1187">IF($E38="H",IF($F37="Hybrid - Thrust + 2 connections","Data!$BI$1:$BI$5","HybridDD_Value"),"Data!$BI$1:$BI$5")</f>
        <v>Data!$BI$1:$BI$5</v>
      </c>
      <c r="BW38" s="90" t="str">
        <f t="shared" ref="BW38" si="1188">IF($E38="H",IF($F37="Hybrid - Thrust + 2 connections","Data!$BI$1:$BI$5","HybridDD_Value"),"Data!$BI$1:$BI$5")</f>
        <v>Data!$BI$1:$BI$5</v>
      </c>
      <c r="BX38" s="90" t="str">
        <f t="shared" ref="BX38" si="1189">IF($E38="H",IF($F37="Hybrid - Thrust + 2 connections","Data!$BI$1:$BI$5","HybridDD_Value"),"Data!$BI$1:$BI$5")</f>
        <v>Data!$BI$1:$BI$5</v>
      </c>
      <c r="BY38" s="90" t="str">
        <f t="shared" ref="BY38" si="1190">IF($E38="H",IF($F37="Hybrid - Thrust + 2 connections","Data!$BI$1:$BI$5","HybridDD_Value"),"Data!$BI$1:$BI$5")</f>
        <v>Data!$BI$1:$BI$5</v>
      </c>
      <c r="BZ38" s="90" t="str">
        <f t="shared" ref="BZ38" si="1191">IF($E38="H",IF($F37="Hybrid - Thrust + 2 connections","Data!$BI$1:$BI$5","HybridDD_Value"),"Data!$BI$1:$BI$5")</f>
        <v>Data!$BI$1:$BI$5</v>
      </c>
      <c r="CA38" s="90" t="str">
        <f t="shared" ref="CA38" si="1192">IF($E38="H",IF($F37="Hybrid - Thrust + 2 connections","Data!$BI$1:$BI$5","HybridDD_Value"),"Data!$BI$1:$BI$5")</f>
        <v>Data!$BI$1:$BI$5</v>
      </c>
      <c r="CB38" s="90" t="str">
        <f t="shared" ref="CB38" si="1193">IF($E38="H",IF($F37="Hybrid - Thrust + 2 connections","Data!$BI$1:$BI$5","HybridDD_Value"),"Data!$BI$1:$BI$5")</f>
        <v>Data!$BI$1:$BI$5</v>
      </c>
      <c r="CC38" s="90" t="str">
        <f t="shared" ref="CC38" si="1194">IF($E38="H",IF($F37="Hybrid - Thrust + 2 connections","Data!$BI$1:$BI$5","HybridDD_Value"),"Data!$BI$1:$BI$5")</f>
        <v>Data!$BI$1:$BI$5</v>
      </c>
      <c r="CD38" s="90" t="str">
        <f t="shared" ref="CD38" si="1195">IF($E38="H",IF($F37="Hybrid - Thrust + 2 connections","Data!$BI$1:$BI$5","HybridDD_Value"),"Data!$BI$1:$BI$5")</f>
        <v>Data!$BI$1:$BI$5</v>
      </c>
      <c r="CE38" s="90" t="str">
        <f t="shared" ref="CE38" si="1196">IF($E38="H",IF($F37="Hybrid - Thrust + 2 connections","Data!$BI$1:$BI$5","HybridDD_Value"),"Data!$BI$1:$BI$5")</f>
        <v>Data!$BI$1:$BI$5</v>
      </c>
      <c r="CF38" s="90" t="str">
        <f t="shared" ref="CF38" si="1197">IF($E38="H",IF($F37="Hybrid - Thrust + 2 connections","Data!$BI$1:$BI$5","HybridDD_Value"),"Data!$BI$1:$BI$5")</f>
        <v>Data!$BI$1:$BI$5</v>
      </c>
      <c r="CG38" s="90" t="str">
        <f t="shared" ref="CG38" si="1198">IF($E38="H",IF($F37="Hybrid - Thrust + 2 connections","Data!$BI$1:$BI$5","HybridDD_Value"),"Data!$BI$1:$BI$5")</f>
        <v>Data!$BI$1:$BI$5</v>
      </c>
      <c r="CH38" s="90" t="str">
        <f t="shared" ref="CH38" si="1199">IF($E38="H",IF($F37="Hybrid - Thrust + 2 connections","Data!$BI$1:$BI$5","HybridDD_Value"),"Data!$BI$1:$BI$5")</f>
        <v>Data!$BI$1:$BI$5</v>
      </c>
      <c r="CI38" s="90" t="str">
        <f t="shared" ref="CI38" si="1200">IF($E38="H",IF($F37="Hybrid - Thrust + 2 connections","Data!$BI$1:$BI$5","HybridDD_Value"),"Data!$BI$1:$BI$5")</f>
        <v>Data!$BI$1:$BI$5</v>
      </c>
      <c r="CJ38" s="90" t="str">
        <f t="shared" ref="CJ38" si="1201">IF($E38="H",IF($F37="Hybrid - Thrust + 2 connections","Data!$BI$1:$BI$5","HybridDD_Value"),"Data!$BI$1:$BI$5")</f>
        <v>Data!$BI$1:$BI$5</v>
      </c>
      <c r="CK38" s="90" t="str">
        <f t="shared" ref="CK38" si="1202">IF($E38="H",IF($F37="Hybrid - Thrust + 2 connections","Data!$BI$1:$BI$5","HybridDD_Value"),"Data!$BI$1:$BI$5")</f>
        <v>Data!$BI$1:$BI$5</v>
      </c>
      <c r="CL38" s="90" t="str">
        <f t="shared" ref="CL38" si="1203">IF($E38="H",IF($F37="Hybrid - Thrust + 2 connections","Data!$BI$1:$BI$5","HybridDD_Value"),"Data!$BI$1:$BI$5")</f>
        <v>Data!$BI$1:$BI$5</v>
      </c>
      <c r="CM38" s="101"/>
      <c r="CN38" s="101"/>
      <c r="CO38" s="102" t="str">
        <f>IFERROR(IF(AND($BV$6="T",$BV$8="T",LEFT(F37,4)="Acro",AO38&gt;3),"X",IF($N$7="X",IF(AND(E38="C",AO38&gt;$CN$6),"X",IF(AND(E38="A",AO38&gt;$CN$4),"X",IF(AND(E38="B",AO38&gt;$CN$5),"X",IF(AND(E38="P",AO38&gt;$CN$7),"X","")))),"")),"")</f>
        <v/>
      </c>
      <c r="CP38" s="94"/>
      <c r="CQ38" s="91"/>
      <c r="CS38" s="91"/>
      <c r="CT38" s="91"/>
      <c r="CU38" s="91"/>
      <c r="CV38" s="91"/>
      <c r="CW38" s="91"/>
      <c r="CX38" s="91"/>
      <c r="CY38" s="91"/>
      <c r="CZ38" s="91"/>
      <c r="DD38" s="88" t="str">
        <f t="shared" si="10"/>
        <v/>
      </c>
      <c r="DE38" s="88" t="str">
        <f t="shared" si="11"/>
        <v/>
      </c>
      <c r="DF38" s="88" t="str">
        <f t="shared" si="12"/>
        <v/>
      </c>
      <c r="DG38" s="88" t="str">
        <f t="shared" si="13"/>
        <v/>
      </c>
      <c r="DO38" s="88">
        <v>20</v>
      </c>
      <c r="ED38" s="88" t="str">
        <f t="shared" si="14"/>
        <v/>
      </c>
      <c r="EE38" s="88" t="str">
        <f t="shared" si="15"/>
        <v/>
      </c>
      <c r="EI38" s="88" t="str" cm="1">
        <f t="array" ref="EI38">IFERROR(INDEX(EK38:FN38,MATCH(TRUE,INDEX((EK38:FN38&lt;&gt;""),),0)),"")</f>
        <v/>
      </c>
      <c r="EK38" s="88" t="str">
        <f t="shared" ref="EK38" si="1204">IF(F37="Hybrid - Thrust + 2 connections",IF(COUNTIF($EK37:$FN37,EK37)&gt;1,EK37,""),IF(COUNTIF($EK37:$FN37,EK37)&gt;5,EK37,""))</f>
        <v/>
      </c>
      <c r="EL38" s="88" t="str">
        <f t="shared" ref="EL38" si="1205">IF(G37="Hybrid - Thrust + 2 connections",IF(COUNTIF($EK37:$FN37,EL37)&gt;1,EL37,""),IF(COUNTIF($EK37:$FN37,EL37)&gt;5,EL37,""))</f>
        <v/>
      </c>
      <c r="EM38" s="88" t="str">
        <f t="shared" ref="EM38" si="1206">IF(H37="Hybrid - Thrust + 2 connections",IF(COUNTIF($EK37:$FN37,EM37)&gt;1,EM37,""),IF(COUNTIF($EK37:$FN37,EM37)&gt;5,EM37,""))</f>
        <v/>
      </c>
      <c r="EN38" s="88" t="str">
        <f t="shared" ref="EN38" si="1207">IF(I37="Hybrid - Thrust + 2 connections",IF(COUNTIF($EK37:$FN37,EN37)&gt;1,EN37,""),IF(COUNTIF($EK37:$FN37,EN37)&gt;5,EN37,""))</f>
        <v/>
      </c>
      <c r="EO38" s="88" t="str">
        <f t="shared" ref="EO38" si="1208">IF(J37="Hybrid - Thrust + 2 connections",IF(COUNTIF($EK37:$FN37,EO37)&gt;1,EO37,""),IF(COUNTIF($EK37:$FN37,EO37)&gt;5,EO37,""))</f>
        <v/>
      </c>
      <c r="EP38" s="88" t="str">
        <f t="shared" ref="EP38" si="1209">IF(K37="Hybrid - Thrust + 2 connections",IF(COUNTIF($EK37:$FN37,EP37)&gt;1,EP37,""),IF(COUNTIF($EK37:$FN37,EP37)&gt;5,EP37,""))</f>
        <v/>
      </c>
      <c r="EQ38" s="88" t="str">
        <f t="shared" ref="EQ38" si="1210">IF(L37="Hybrid - Thrust + 2 connections",IF(COUNTIF($EK37:$FN37,EQ37)&gt;1,EQ37,""),IF(COUNTIF($EK37:$FN37,EQ37)&gt;5,EQ37,""))</f>
        <v/>
      </c>
      <c r="ER38" s="88" t="str">
        <f t="shared" ref="ER38" si="1211">IF(M37="Hybrid - Thrust + 2 connections",IF(COUNTIF($EK37:$FN37,ER37)&gt;1,ER37,""),IF(COUNTIF($EK37:$FN37,ER37)&gt;5,ER37,""))</f>
        <v/>
      </c>
      <c r="ES38" s="88" t="str">
        <f t="shared" ref="ES38" si="1212">IF(N37="Hybrid - Thrust + 2 connections",IF(COUNTIF($EK37:$FN37,ES37)&gt;1,ES37,""),IF(COUNTIF($EK37:$FN37,ES37)&gt;5,ES37,""))</f>
        <v/>
      </c>
      <c r="ET38" s="88" t="str">
        <f t="shared" ref="ET38" si="1213">IF(O37="Hybrid - Thrust + 2 connections",IF(COUNTIF($EK37:$FN37,ET37)&gt;1,ET37,""),IF(COUNTIF($EK37:$FN37,ET37)&gt;5,ET37,""))</f>
        <v/>
      </c>
      <c r="EU38" s="88" t="str">
        <f t="shared" ref="EU38" si="1214">IF(P37="Hybrid - Thrust + 2 connections",IF(COUNTIF($EK37:$FN37,EU37)&gt;1,EU37,""),IF(COUNTIF($EK37:$FN37,EU37)&gt;5,EU37,""))</f>
        <v/>
      </c>
      <c r="EV38" s="88" t="str">
        <f t="shared" ref="EV38" si="1215">IF(Q37="Hybrid - Thrust + 2 connections",IF(COUNTIF($EK37:$FN37,EV37)&gt;1,EV37,""),IF(COUNTIF($EK37:$FN37,EV37)&gt;5,EV37,""))</f>
        <v/>
      </c>
      <c r="EW38" s="88" t="str">
        <f t="shared" ref="EW38" si="1216">IF(R37="Hybrid - Thrust + 2 connections",IF(COUNTIF($EK37:$FN37,EW37)&gt;1,EW37,""),IF(COUNTIF($EK37:$FN37,EW37)&gt;5,EW37,""))</f>
        <v/>
      </c>
      <c r="EX38" s="88" t="str">
        <f t="shared" ref="EX38" si="1217">IF(S37="Hybrid - Thrust + 2 connections",IF(COUNTIF($EK37:$FN37,EX37)&gt;1,EX37,""),IF(COUNTIF($EK37:$FN37,EX37)&gt;5,EX37,""))</f>
        <v/>
      </c>
      <c r="EY38" s="88" t="str">
        <f t="shared" ref="EY38" si="1218">IF(T37="Hybrid - Thrust + 2 connections",IF(COUNTIF($EK37:$FN37,EY37)&gt;1,EY37,""),IF(COUNTIF($EK37:$FN37,EY37)&gt;5,EY37,""))</f>
        <v/>
      </c>
      <c r="EZ38" s="88" t="str">
        <f t="shared" ref="EZ38" si="1219">IF(U37="Hybrid - Thrust + 2 connections",IF(COUNTIF($EK37:$FN37,EZ37)&gt;1,EZ37,""),IF(COUNTIF($EK37:$FN37,EZ37)&gt;5,EZ37,""))</f>
        <v/>
      </c>
      <c r="FA38" s="88" t="str">
        <f t="shared" ref="FA38" si="1220">IF(V37="Hybrid - Thrust + 2 connections",IF(COUNTIF($EK37:$FN37,FA37)&gt;1,FA37,""),IF(COUNTIF($EK37:$FN37,FA37)&gt;5,FA37,""))</f>
        <v/>
      </c>
      <c r="FB38" s="88" t="str">
        <f t="shared" ref="FB38" si="1221">IF(W37="Hybrid - Thrust + 2 connections",IF(COUNTIF($EK37:$FN37,FB37)&gt;1,FB37,""),IF(COUNTIF($EK37:$FN37,FB37)&gt;5,FB37,""))</f>
        <v/>
      </c>
      <c r="FC38" s="88" t="str">
        <f t="shared" ref="FC38" si="1222">IF(X37="Hybrid - Thrust + 2 connections",IF(COUNTIF($EK37:$FN37,FC37)&gt;1,FC37,""),IF(COUNTIF($EK37:$FN37,FC37)&gt;5,FC37,""))</f>
        <v/>
      </c>
      <c r="FD38" s="88" t="str">
        <f t="shared" ref="FD38" si="1223">IF(Y37="Hybrid - Thrust + 2 connections",IF(COUNTIF($EK37:$FN37,FD37)&gt;1,FD37,""),IF(COUNTIF($EK37:$FN37,FD37)&gt;5,FD37,""))</f>
        <v/>
      </c>
      <c r="FE38" s="88" t="str">
        <f t="shared" ref="FE38" si="1224">IF(Z37="Hybrid - Thrust + 2 connections",IF(COUNTIF($EK37:$FN37,FE37)&gt;1,FE37,""),IF(COUNTIF($EK37:$FN37,FE37)&gt;5,FE37,""))</f>
        <v/>
      </c>
      <c r="FF38" s="88" t="str">
        <f t="shared" ref="FF38" si="1225">IF(AA37="Hybrid - Thrust + 2 connections",IF(COUNTIF($EK37:$FN37,FF37)&gt;1,FF37,""),IF(COUNTIF($EK37:$FN37,FF37)&gt;5,FF37,""))</f>
        <v/>
      </c>
      <c r="FG38" s="88" t="str">
        <f t="shared" ref="FG38" si="1226">IF(AB37="Hybrid - Thrust + 2 connections",IF(COUNTIF($EK37:$FN37,FG37)&gt;1,FG37,""),IF(COUNTIF($EK37:$FN37,FG37)&gt;5,FG37,""))</f>
        <v/>
      </c>
      <c r="FH38" s="88" t="str">
        <f t="shared" ref="FH38" si="1227">IF(AC37="Hybrid - Thrust + 2 connections",IF(COUNTIF($EK37:$FN37,FH37)&gt;1,FH37,""),IF(COUNTIF($EK37:$FN37,FH37)&gt;5,FH37,""))</f>
        <v/>
      </c>
      <c r="FI38" s="88" t="str">
        <f t="shared" ref="FI38" si="1228">IF(AD37="Hybrid - Thrust + 2 connections",IF(COUNTIF($EK37:$FN37,FI37)&gt;1,FI37,""),IF(COUNTIF($EK37:$FN37,FI37)&gt;5,FI37,""))</f>
        <v/>
      </c>
      <c r="FJ38" s="88" t="str">
        <f t="shared" ref="FJ38" si="1229">IF(AE37="Hybrid - Thrust + 2 connections",IF(COUNTIF($EK37:$FN37,FJ37)&gt;1,FJ37,""),IF(COUNTIF($EK37:$FN37,FJ37)&gt;5,FJ37,""))</f>
        <v/>
      </c>
      <c r="FK38" s="88" t="str">
        <f t="shared" ref="FK38" si="1230">IF(AF37="Hybrid - Thrust + 2 connections",IF(COUNTIF($EK37:$FN37,FK37)&gt;1,FK37,""),IF(COUNTIF($EK37:$FN37,FK37)&gt;5,FK37,""))</f>
        <v/>
      </c>
      <c r="FL38" s="88" t="str">
        <f t="shared" ref="FL38" si="1231">IF(AG37="Hybrid - Thrust + 2 connections",IF(COUNTIF($EK37:$FN37,FL37)&gt;1,FL37,""),IF(COUNTIF($EK37:$FN37,FL37)&gt;5,FL37,""))</f>
        <v/>
      </c>
      <c r="FM38" s="88" t="str">
        <f t="shared" ref="FM38" si="1232">IF(AH37="Hybrid - Thrust + 2 connections",IF(COUNTIF($EK37:$FN37,FM37)&gt;1,FM37,""),IF(COUNTIF($EK37:$FN37,FM37)&gt;5,FM37,""))</f>
        <v/>
      </c>
      <c r="FN38" s="88" t="str">
        <f t="shared" ref="FN38" si="1233">IF(AI37="Hybrid - Thrust + 2 connections",IF(COUNTIF($EK37:$FN37,FN37)&gt;1,FN37,""),IF(COUNTIF($EK37:$FN37,FN37)&gt;5,FN37,""))</f>
        <v/>
      </c>
      <c r="FO38" s="88">
        <f t="shared" ref="FO38" si="1234">FO36+5</f>
        <v>45</v>
      </c>
      <c r="FP38" s="88" t="str" cm="1">
        <f t="array" ref="FP38">IF(FQ38&lt;&gt;"",LEFT(FQ38,FIND("*",FQ38)-1),INDEX($FP$75:$FP$172,FO38+1))</f>
        <v/>
      </c>
      <c r="FQ38" s="88" t="str" cm="1">
        <f t="array" ref="FQ38">INDEX($FQ$75:$FQ$172,FO38+1)</f>
        <v/>
      </c>
      <c r="FR38" s="285"/>
      <c r="FS38" s="285"/>
      <c r="FT38" s="285"/>
      <c r="FU38" s="285"/>
      <c r="FV38" s="285"/>
      <c r="FW38" s="285"/>
      <c r="FX38" s="285"/>
      <c r="FY38" s="285"/>
      <c r="FZ38" s="285"/>
      <c r="GA38" s="285"/>
      <c r="GB38" s="285"/>
      <c r="GC38" s="285"/>
      <c r="GD38" s="285"/>
      <c r="GE38" s="285"/>
      <c r="GF38" s="285"/>
      <c r="GG38" s="285"/>
      <c r="GH38" s="285"/>
      <c r="GI38" s="285"/>
      <c r="GJ38" s="285"/>
      <c r="GK38" s="285"/>
      <c r="GL38" s="285"/>
      <c r="GM38" s="285"/>
      <c r="GN38" s="285"/>
      <c r="GO38" s="285"/>
      <c r="GP38" s="285"/>
      <c r="GQ38" s="285"/>
      <c r="GR38" s="285"/>
      <c r="GS38" s="285"/>
      <c r="GT38" s="285"/>
      <c r="GU38" s="285"/>
      <c r="GV38" s="88"/>
      <c r="GW38" s="88"/>
      <c r="GX38" s="88"/>
      <c r="GY38" s="88"/>
      <c r="GZ38" s="88"/>
      <c r="HA38" s="88"/>
      <c r="HB38" s="88"/>
      <c r="HC38" s="88"/>
      <c r="HD38" s="88" t="str">
        <f>IF($F37="Hybrid - Thrust + 2 connections",COUNTBLANK(J37:L37),"")</f>
        <v/>
      </c>
      <c r="HE38" s="88"/>
      <c r="HF38" s="91"/>
      <c r="HG38" s="91"/>
      <c r="HH38" s="91"/>
      <c r="HI38" s="91"/>
    </row>
    <row r="39" spans="1:222" ht="12.75" customHeight="1" x14ac:dyDescent="0.35">
      <c r="A39" s="28" t="str">
        <f>IF(AND(E37="",A37&lt;&gt;""),IF(CP37=$CP$18,"",IF(C37&lt;&gt;"",IF(D37=59,MINUTE(CP37)+1,MINUTE(CP37)),"")),"")</f>
        <v/>
      </c>
      <c r="B39" s="29" t="str">
        <f>IF(AND(E37="",B37&lt;&gt;""),IF(CP37=$CP$18,"",IF(C37&lt;&gt;"",IF(D37=59,0,SECOND(CP37)+1),"")),"")</f>
        <v/>
      </c>
      <c r="C39" s="39"/>
      <c r="D39" s="39"/>
      <c r="E39" s="9"/>
      <c r="F39" s="40"/>
      <c r="G39" s="31" t="str">
        <f>IF(F39&lt;&gt;"",IF(OR(F39="Transition",F39="Transition - Surface Connection"),0,MAX($G$19:G38)+1),"")</f>
        <v/>
      </c>
      <c r="H39" s="43" t="str">
        <f>IFERROR(IF(E40="3","",IF(OR(F39="Hybrid - Choreography (DD = 1)",LEFT(F39,5)="Trans"),"No DD",CONCATENATE("BM = ",I40))),"")</f>
        <v/>
      </c>
      <c r="I39" s="44"/>
      <c r="J39" s="109"/>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58"/>
      <c r="AO39" s="32"/>
      <c r="AP39" s="61"/>
      <c r="AQ39" s="61"/>
      <c r="AR39" s="90"/>
      <c r="AS39" s="90"/>
      <c r="AT39" s="90"/>
      <c r="AU39" s="90"/>
      <c r="AV39" s="90"/>
      <c r="AW39" s="91" t="str">
        <f t="shared" ref="AW39" si="1235">E40</f>
        <v/>
      </c>
      <c r="AX39" s="94" t="str">
        <f t="shared" ref="AX39" si="1236">IF(AY39=0,"",TIME(0,A39,B39))</f>
        <v/>
      </c>
      <c r="AY39" s="94">
        <f t="shared" ref="AY39" si="1237">TIME(0,C39,D39)</f>
        <v>0</v>
      </c>
      <c r="AZ39" s="94" t="str">
        <f t="shared" ref="AZ39" si="1238">IFERROR(AY39-AX39,"")</f>
        <v/>
      </c>
      <c r="BA39" s="237" t="str">
        <f t="shared" ref="BA39" si="1239">IF($AX$17=0,"",IF(AND($C$10&lt;&gt;"",AW39="H",AZ39&gt;$AX$17),"X",""))</f>
        <v/>
      </c>
      <c r="BB39" s="90"/>
      <c r="BC39" s="90"/>
      <c r="BD39" s="90"/>
      <c r="BE39" s="90"/>
      <c r="BF39" s="90"/>
      <c r="BG39" s="90" t="str">
        <f>IFERROR(IF(F39&lt;&gt;"",INDEX(Parts_Active,MATCH(F39,Parts_Active,0)),""),"No")</f>
        <v/>
      </c>
      <c r="BH39" s="90"/>
      <c r="BI39" s="90" t="str">
        <f>IF($E40="H",IF($F39="Hybrid - Thrust + 2 connections","Hybrid_Mix_Req",IF($F39="Hybrid - Choreography (DD = 1)","Hybrid_ChoHY","HybridDD_Code")),IF($E40=3,"TreDD_Code",IF($E40="PA","AcroPair_Code",IF(LEFT($F39,4)="Acro",CONCATENATE(BI$16,$E40,"_Code"),"Data!$BI$1:$BI$5"))))</f>
        <v>Data!$BI$1:$BI$5</v>
      </c>
      <c r="BJ39" s="90" t="str">
        <f t="shared" ref="BJ39" si="1240">IF($E40="H",IF($F39="Hybrid - Thrust + 2 connections","Hybrid_Mix_Req",IF($F39="Hybrid - min 4 swimmers (no DD)","Data!$BI$1:$BI$5","HybridDD_Code")),IF($E40=3,"TreDD_Code",IF($E40="PA","AcroPair_Code",IF(LEFT($F39,4)="Acro",CONCATENATE(BJ$16,$E40,"_Code"),"Data!$BI$1:$BI$5"))))</f>
        <v>Data!$BI$1:$BI$5</v>
      </c>
      <c r="BK39" s="90" t="str">
        <f t="shared" si="978"/>
        <v>Data!$BI$1:$BI$5</v>
      </c>
      <c r="BL39" s="90" t="str">
        <f t="shared" si="978"/>
        <v>Data!$BI$1:$BI$5</v>
      </c>
      <c r="BM39" s="90" t="str">
        <f t="shared" si="978"/>
        <v>Data!$BI$1:$BI$5</v>
      </c>
      <c r="BN39" s="90" t="str">
        <f t="shared" si="978"/>
        <v>Data!$BI$1:$BI$5</v>
      </c>
      <c r="BO39" s="90" t="str">
        <f t="shared" si="978"/>
        <v>Data!$BI$1:$BI$5</v>
      </c>
      <c r="BP39" s="90" t="str">
        <f t="shared" si="978"/>
        <v>Data!$BI$1:$BI$5</v>
      </c>
      <c r="BQ39" s="90" t="str">
        <f t="shared" si="978"/>
        <v>Data!$BI$1:$BI$5</v>
      </c>
      <c r="BR39" s="90" t="str">
        <f t="shared" ref="BR39" si="1241">IF($E40="H",IF($F39="Hybrid - Thrust + 2 connections","Data!$BI$1:$BI$5","HybridDD_Code"),"Data!$BI$1:$BI$5")</f>
        <v>Data!$BI$1:$BI$5</v>
      </c>
      <c r="BS39" s="90" t="str">
        <f t="shared" si="445"/>
        <v>Data!$BI$1:$BI$5</v>
      </c>
      <c r="BT39" s="90" t="str">
        <f t="shared" si="445"/>
        <v>Data!$BI$1:$BI$5</v>
      </c>
      <c r="BU39" s="90" t="str">
        <f t="shared" si="445"/>
        <v>Data!$BI$1:$BI$5</v>
      </c>
      <c r="BV39" s="90" t="str">
        <f t="shared" si="445"/>
        <v>Data!$BI$1:$BI$5</v>
      </c>
      <c r="BW39" s="90" t="str">
        <f t="shared" si="445"/>
        <v>Data!$BI$1:$BI$5</v>
      </c>
      <c r="BX39" s="90" t="str">
        <f t="shared" si="445"/>
        <v>Data!$BI$1:$BI$5</v>
      </c>
      <c r="BY39" s="90" t="str">
        <f t="shared" si="445"/>
        <v>Data!$BI$1:$BI$5</v>
      </c>
      <c r="BZ39" s="90" t="str">
        <f t="shared" si="445"/>
        <v>Data!$BI$1:$BI$5</v>
      </c>
      <c r="CA39" s="90" t="str">
        <f t="shared" si="445"/>
        <v>Data!$BI$1:$BI$5</v>
      </c>
      <c r="CB39" s="90" t="str">
        <f t="shared" si="445"/>
        <v>Data!$BI$1:$BI$5</v>
      </c>
      <c r="CC39" s="90" t="str">
        <f t="shared" si="445"/>
        <v>Data!$BI$1:$BI$5</v>
      </c>
      <c r="CD39" s="90" t="str">
        <f t="shared" si="445"/>
        <v>Data!$BI$1:$BI$5</v>
      </c>
      <c r="CE39" s="90" t="str">
        <f t="shared" si="445"/>
        <v>Data!$BI$1:$BI$5</v>
      </c>
      <c r="CF39" s="90" t="str">
        <f t="shared" si="445"/>
        <v>Data!$BI$1:$BI$5</v>
      </c>
      <c r="CG39" s="90" t="str">
        <f t="shared" si="445"/>
        <v>Data!$BI$1:$BI$5</v>
      </c>
      <c r="CH39" s="90" t="str">
        <f t="shared" si="445"/>
        <v>Data!$BI$1:$BI$5</v>
      </c>
      <c r="CI39" s="90" t="str">
        <f t="shared" si="980"/>
        <v>Data!$BI$1:$BI$5</v>
      </c>
      <c r="CJ39" s="90" t="str">
        <f t="shared" si="980"/>
        <v>Data!$BI$1:$BI$5</v>
      </c>
      <c r="CK39" s="90" t="str">
        <f t="shared" si="980"/>
        <v>Data!$BI$1:$BI$5</v>
      </c>
      <c r="CL39" s="90" t="str">
        <f t="shared" si="980"/>
        <v>Data!$BI$1:$BI$5</v>
      </c>
      <c r="CM39" s="90"/>
      <c r="CN39" s="90"/>
      <c r="CO39" s="93" t="str">
        <f>IFERROR(TIME(0,A39,B39),"")</f>
        <v/>
      </c>
      <c r="CP39" s="94">
        <f>IFERROR(TIME(0,C39,D39),"")</f>
        <v>0</v>
      </c>
      <c r="CQ39" s="94" t="str">
        <f t="shared" ref="CQ39" si="1242">IF(CP39&gt;$D$12,"X","")</f>
        <v/>
      </c>
      <c r="CR39" s="88" t="str">
        <f>IF(AND(F39="Hybrid - Thrust + 2 connections",OR(LEFT(J39,1)="T",LEFT(K39,1)="T",LEFT(L39,1)="T",LEFT(PB39,1)="T",LEFT(M39,1)="T",LEFT(N39,1)="T",LEFT(O39,1)="T",LEFT(P39,1)="T",LEFT(Q39,1)="T",LEFT(R39,1)="T",LEFT(S39,1)="T",LEFT(T39,1)="T",LEFT(U39,1)="T",LEFT(V39,1)="T",LEFT(W39,1)="T",LEFT(X39,1)="T",LEFT(AK39,1)="T",LEFT(AL39,1)="T",LEFT(AM39,1)="T")),IF(OR(LEN(J39)=2,LEN(K39)=2,LEN(L39)=2,LEN(M39)=2,LEN(N39)=2,LEN(O39)=2,LEN(P39)=2,LEN(Q39)=2,LEN(R39)=2,LEN(S39)=2,LEN(T39)=2,LEN(U39)=2,LEN(V39)=2,LEN(W39)=2,LEN(X39)=2,LEN(Y39)=2,LEN(Z39)=2,LEN(AK39)=2,LEN(AL39)=2,LEN(AM39)=2),"X",""),"")</f>
        <v/>
      </c>
      <c r="CS39" s="91"/>
      <c r="CT39" s="88" t="str">
        <f>IF(LEFT(F39,4)="Acro",IF(AND(N39&lt;&gt;"",M39=RIGHT(N39,2)),"X","OK"),"")</f>
        <v/>
      </c>
      <c r="CU39" s="90" t="str">
        <f t="shared" ref="CU39:DB39" si="1243">IFERROR(IF(AND(LEFT($F39,4)="Acro",INDEX(Requ_App,MATCH(BI39,Requ_Code,0))="No"),"X",""),"")</f>
        <v/>
      </c>
      <c r="CV39" s="90" t="str">
        <f t="shared" si="1243"/>
        <v/>
      </c>
      <c r="CW39" s="90" t="str">
        <f t="shared" si="1243"/>
        <v/>
      </c>
      <c r="CX39" s="90" t="str">
        <f t="shared" si="1243"/>
        <v/>
      </c>
      <c r="CY39" s="90" t="str">
        <f t="shared" si="1243"/>
        <v/>
      </c>
      <c r="CZ39" s="90" t="str">
        <f t="shared" si="1243"/>
        <v/>
      </c>
      <c r="DA39" s="90" t="str">
        <f t="shared" si="1243"/>
        <v/>
      </c>
      <c r="DB39" s="90" t="str">
        <f t="shared" si="1243"/>
        <v/>
      </c>
      <c r="DC39" s="90" t="str">
        <f>IFERROR(IF(AND(LEFT($F39,4)="Acro",INDEX(Requ_App,MATCH(BP39,Requ_Code,0))="No"),"X",""),"")</f>
        <v/>
      </c>
      <c r="DD39" s="88" t="str">
        <f t="shared" si="10"/>
        <v/>
      </c>
      <c r="DE39" s="88" t="str">
        <f t="shared" si="11"/>
        <v/>
      </c>
      <c r="DF39" s="88" t="str">
        <f t="shared" si="12"/>
        <v/>
      </c>
      <c r="DG39" s="88" t="str">
        <f t="shared" si="13"/>
        <v/>
      </c>
      <c r="DK39" s="88">
        <f t="shared" ref="DK39" si="1244">IF(AND(E40="A",OR(Q39="Grip",Q39="Conn",Q39="Catch")),"A1",IF(AND(E40="A",OR(Q39="Hula",Q39="RetSq",Q39="RetPa")),"A2",IF(AND(E40="B",OR(Q39="Twirl",Q39="RotF")),"B1",IF(AND(E40="B",OR(Q39="Moon",Q39="Mov",Q39="Hold")),"B2",IF(AND(E40="P",OR(Q39="Porp",Q39="Splch")),"P1",IF(AND(E40="P",OR(Q39="Diva",Q39="Stand")),"P2",IF(AND(E40="P",OR(Q39="Spider",Q39="Climb")),"P3",IF(AND(E40="P",OR(Q39="Fall",Q39="FTurn")),"P4",IF(AND(E40="C",OR(Q39="Jump",Q39="Jump&gt;",Q39="On1Foot",Q39="1F&gt;1F")),"C1",IF(AND(E40="C",OR(Q39="Run",Q39="BRun")),"C2",1))))))))))</f>
        <v>1</v>
      </c>
      <c r="DL39" s="88">
        <f t="shared" ref="DL39" si="1245">IF(AND(E40="A",OR(R39="Grip",R39="Conn",R39="Catch")),"A1",IF(AND(E40="A",OR(R39="Hula",R39="RetSq",R39="RetPa")),"A2",IF(AND(E40="B",OR(R39="Twirl",R39="RotF")),"B1",IF(AND(E40="B",OR(R39="Moon",R39="Mov",R39="Hold")),"B2",IF(AND(E40="P",OR(R39="Porp",R39="Spich")),"P1",IF(AND(E40="P",OR(R39="Diva",R39="Stand")),"P2",IF(AND(E40="P",OR(R39="Spider",R39="Climb")),"P3",IF(AND(E40="P",OR(R39="Fall",R39="FTurn")),"P4",IF(AND(E40="C",OR(R39="Jump",R39="Jump&gt;",R39="On1Foot",R39="1F&gt;1F")),"C1",IF(AND(E40="C",OR(R39="Run",R39="BRun")),"C2",2))))))))))</f>
        <v>2</v>
      </c>
      <c r="DM39" s="88" t="str">
        <f t="shared" ref="DM39" si="1246">IF(AND(N39="",OR(Q39&lt;&gt;"",R39&lt;&gt;"")),"X",IF(AND(LEFT(F39,4)="Acro",Q39&lt;&gt;"",OR(Q39=R39,DK39=DL39)),IF(R39="C-Roll","","X"),IF(OR(AND(E40="A",Q39="Catch",R39&lt;&gt;"Dbl"),AND(E40="A",R39="Catch",Q39&lt;&gt;"Dbl")),"X","")))</f>
        <v/>
      </c>
      <c r="DN39" s="88" t="str">
        <f>IF(E40="PA",J39,"")</f>
        <v/>
      </c>
      <c r="DO39" s="88">
        <v>21</v>
      </c>
      <c r="DQ39" s="88" t="str">
        <f>IF(AND($E40="A",COUNTIF($DZ$19:$EA$68,DZ39)&gt;1),DZ39,"")</f>
        <v/>
      </c>
      <c r="DR39" s="88" t="str">
        <f>IF(AND($E40="A",COUNTIF($DZ$19:$EA$68,EA39)&gt;1),EA39,"")</f>
        <v/>
      </c>
      <c r="DS39" s="88" t="str">
        <f ca="1">IF(AND($E40="B",COUNTIF($J$19:$J$68,J39)&gt;1),J39,"")</f>
        <v/>
      </c>
      <c r="DT39" s="88" t="str">
        <f ca="1">IF(AND($E40="B",COUNTIF($K$19:$K$68,K39)&gt;1),K39,"")</f>
        <v/>
      </c>
      <c r="DU39" s="88" t="str">
        <f ca="1">IF(AND($E40="C",COUNTIF($J$19:$J$68,J39)&gt;1),J39,"")</f>
        <v/>
      </c>
      <c r="DV39" s="88" t="str">
        <f ca="1">IF(AND($E40="P",COUNTIF($J$19:$J$68,J39)&gt;1),J39,"")</f>
        <v/>
      </c>
      <c r="DW39" s="88" t="str">
        <f ca="1">IF(AND($E40="P",COUNTIF($K$19:$K$68,K39)&gt;1),K39,"")</f>
        <v/>
      </c>
      <c r="DX39" s="88" t="str">
        <f>IF(AND($E40="P",COUNTIF($DZ$19:$EA$68,DZ39)&gt;1),DZ39,"")</f>
        <v/>
      </c>
      <c r="DY39" s="88" t="str">
        <f>IF(AND($E40="P",COUNTIF($DZ$19:$EA$68,EA39)&gt;1),EA39,"")</f>
        <v/>
      </c>
      <c r="DZ39" s="88" t="str">
        <f>IFERROR(IF(OR(E40="A",E40="P"),M39,""),"")</f>
        <v/>
      </c>
      <c r="EA39" s="88" t="str">
        <f>IFERROR(IF(OR(E40="A",E40="P"),RIGHT(N39,2),""),"")</f>
        <v/>
      </c>
      <c r="EB39" s="88" t="str">
        <f t="shared" ref="EB39" si="1247">IF(Q39="","",IF(AND($E40="P",COUNTIF($Q$19:$R$68,Q39)&gt;1),Q39,""))</f>
        <v/>
      </c>
      <c r="EC39" s="88" t="str">
        <f t="shared" ref="EC39" si="1248">IF(R39="","",IF(AND($E40="P",COUNTIF($Q$19:$R$68,R39)&gt;1),R39,""))</f>
        <v/>
      </c>
      <c r="ED39" s="88" t="str">
        <f t="shared" si="14"/>
        <v/>
      </c>
      <c r="EE39" s="88" t="str">
        <f t="shared" si="15"/>
        <v/>
      </c>
      <c r="EF39" s="88" t="str">
        <f t="shared" ref="EF39" si="1249">IF(AND(OR($F$8="Open Team Acrobatic",$F$8="Open Team Technical"),LEFT(F39,4)="Acro"),E40,"")</f>
        <v/>
      </c>
      <c r="EG39" s="88" t="str">
        <f t="shared" ref="EG39" si="1250">IF(EF39="","",IFERROR(IF($F$8="Open Team Acrobatic",IF(HLOOKUP(EF39,$DQ$12:$DT$13,2,FALSE)&gt;2,"X",""),IF(HLOOKUP(EF39,$DQ$12:$DT$13,2,FALSE)&gt;1,"X","")),""))</f>
        <v/>
      </c>
      <c r="EI39" s="88" t="str">
        <f t="shared" ref="EI39" si="1251">IF(OR(AND(F39="Hybrid - Thrust + 2 connections",EI40="T"),AND(E40="H",EI40&lt;&gt;"",EI93="X")),"X","")</f>
        <v/>
      </c>
      <c r="EK39" s="88">
        <f t="shared" ref="EK39" si="1252">IFERROR(IF(AND($E40="H",J39&lt;&gt;"",J39&lt;&gt;"ChoHY"),IF(OR(LEFT(J39,1)="T",LEFT(J39,1)="S",LEFT(J39,1)="A",LEFT(J39,1)="F",LEFT(J39,1)="C"),LEFT(J39,1),"R"),EK$18),"")</f>
        <v>1</v>
      </c>
      <c r="EL39" s="88">
        <f t="shared" ref="EL39" si="1253">IFERROR(IF(AND($E40="H",K39&lt;&gt;""),IF(OR(LEFT(K39,1)="T",LEFT(K39,1)="S",LEFT(K39,1)="A",LEFT(K39,1)="F",LEFT(K39,1)="C"),LEFT(K39,1),"R"),EL$18),"")</f>
        <v>2</v>
      </c>
      <c r="EM39" s="88">
        <f t="shared" ref="EM39" si="1254">IFERROR(IF(AND($E40="H",L39&lt;&gt;""),IF(OR(LEFT(L39,1)="T",LEFT(L39,1)="S",LEFT(L39,1)="A",LEFT(L39,1)="F",LEFT(L39,1)="C"),LEFT(L39,1),"R"),EM$18),"")</f>
        <v>3</v>
      </c>
      <c r="EN39" s="88">
        <f t="shared" ref="EN39" si="1255">IFERROR(IF(AND($E40="H",M39&lt;&gt;""),IF(OR(LEFT(M39,1)="T",LEFT(M39,1)="S",LEFT(M39,1)="A",LEFT(M39,1)="F",LEFT(M39,1)="C"),LEFT(M39,1),"R"),EN$18),"")</f>
        <v>4</v>
      </c>
      <c r="EO39" s="88">
        <f t="shared" ref="EO39" si="1256">IFERROR(IF(AND($E40="H",N39&lt;&gt;""),IF(OR(LEFT(N39,1)="T",LEFT(N39,1)="S",LEFT(N39,1)="A",LEFT(N39,1)="F",LEFT(N39,1)="C"),LEFT(N39,1),"R"),EO$18),"")</f>
        <v>5</v>
      </c>
      <c r="EP39" s="88">
        <f t="shared" ref="EP39" si="1257">IFERROR(IF(AND($E40="H",O39&lt;&gt;""),IF(OR(LEFT(O39,1)="T",LEFT(O39,1)="S",LEFT(O39,1)="A",LEFT(O39,1)="F",LEFT(O39,1)="C"),LEFT(O39,1),"R"),EP$18),"")</f>
        <v>6</v>
      </c>
      <c r="EQ39" s="88">
        <f t="shared" ref="EQ39" si="1258">IFERROR(IF(AND($E40="H",P39&lt;&gt;""),IF(OR(LEFT(P39,1)="T",LEFT(P39,1)="S",LEFT(P39,1)="A",LEFT(P39,1)="F",LEFT(P39,1)="C"),LEFT(P39,1),"R"),EQ$18),"")</f>
        <v>7</v>
      </c>
      <c r="ER39" s="88">
        <f t="shared" ref="ER39" si="1259">IFERROR(IF(AND($E40="H",Q39&lt;&gt;""),IF(OR(LEFT(Q39,1)="T",LEFT(Q39,1)="S",LEFT(Q39,1)="A",LEFT(Q39,1)="F",LEFT(Q39,1)="C"),LEFT(Q39,1),"R"),ER$18),"")</f>
        <v>8</v>
      </c>
      <c r="ES39" s="88">
        <f t="shared" ref="ES39" si="1260">IFERROR(IF(AND($E40="H",R39&lt;&gt;""),IF(OR(LEFT(R39,1)="T",LEFT(R39,1)="S",LEFT(R39,1)="A",LEFT(R39,1)="F",LEFT(R39,1)="C"),LEFT(R39,1),"R"),ES$18),"")</f>
        <v>9</v>
      </c>
      <c r="ET39" s="88">
        <f t="shared" ref="ET39" si="1261">IFERROR(IF(AND($E40="H",S39&lt;&gt;""),IF(OR(LEFT(S39,1)="T",LEFT(S39,1)="S",LEFT(S39,1)="A",LEFT(S39,1)="F",LEFT(S39,1)="C"),LEFT(S39,1),"R"),ET$18),"")</f>
        <v>10</v>
      </c>
      <c r="EU39" s="88">
        <f t="shared" ref="EU39" si="1262">IFERROR(IF(AND($E40="H",T39&lt;&gt;""),IF(OR(LEFT(T39,1)="T",LEFT(T39,1)="S",LEFT(T39,1)="A",LEFT(T39,1)="F",LEFT(T39,1)="C"),LEFT(T39,1),"R"),EU$18),"")</f>
        <v>11</v>
      </c>
      <c r="EV39" s="88">
        <f t="shared" ref="EV39" si="1263">IFERROR(IF(AND($E40="H",U39&lt;&gt;""),IF(OR(LEFT(U39,1)="T",LEFT(U39,1)="S",LEFT(U39,1)="A",LEFT(U39,1)="F",LEFT(U39,1)="C"),LEFT(U39,1),"R"),EV$18),"")</f>
        <v>12</v>
      </c>
      <c r="EW39" s="88">
        <f t="shared" ref="EW39" si="1264">IFERROR(IF(AND($E40="H",V39&lt;&gt;""),IF(OR(LEFT(V39,1)="T",LEFT(V39,1)="S",LEFT(V39,1)="A",LEFT(V39,1)="F",LEFT(V39,1)="C"),LEFT(V39,1),"R"),EW$18),"")</f>
        <v>13</v>
      </c>
      <c r="EX39" s="88">
        <f t="shared" ref="EX39" si="1265">IFERROR(IF(AND($E40="H",W39&lt;&gt;""),IF(OR(LEFT(W39,1)="T",LEFT(W39,1)="S",LEFT(W39,1)="A",LEFT(W39,1)="F",LEFT(W39,1)="C"),LEFT(W39,1),"R"),EX$18),"")</f>
        <v>14</v>
      </c>
      <c r="EY39" s="88">
        <f t="shared" ref="EY39" si="1266">IFERROR(IF(AND($E40="H",X39&lt;&gt;""),IF(OR(LEFT(X39,1)="T",LEFT(X39,1)="S",LEFT(X39,1)="A",LEFT(X39,1)="F",LEFT(X39,1)="C"),LEFT(X39,1),"R"),EY$18),"")</f>
        <v>15</v>
      </c>
      <c r="EZ39" s="88">
        <f t="shared" ref="EZ39" si="1267">IFERROR(IF(AND($E40="H",Y39&lt;&gt;""),IF(OR(LEFT(Y39,1)="T",LEFT(Y39,1)="S",LEFT(Y39,1)="A",LEFT(Y39,1)="F",LEFT(Y39,1)="C"),LEFT(Y39,1),"R"),EZ$18),"")</f>
        <v>16</v>
      </c>
      <c r="FA39" s="88">
        <f t="shared" ref="FA39" si="1268">IFERROR(IF(AND($E40="H",Z39&lt;&gt;""),IF(OR(LEFT(Z39,1)="T",LEFT(Z39,1)="S",LEFT(Z39,1)="A",LEFT(Z39,1)="F",LEFT(Z39,1)="C"),LEFT(Z39,1),"R"),FA$18),"")</f>
        <v>17</v>
      </c>
      <c r="FB39" s="88">
        <f t="shared" ref="FB39" si="1269">IFERROR(IF(AND($E40="H",AA39&lt;&gt;""),IF(OR(LEFT(AA39,1)="T",LEFT(AA39,1)="S",LEFT(AA39,1)="A",LEFT(AA39,1)="F",LEFT(AA39,1)="C"),LEFT(AA39,1),"R"),FB$18),"")</f>
        <v>18</v>
      </c>
      <c r="FC39" s="88">
        <f t="shared" ref="FC39" si="1270">IFERROR(IF(AND($E40="H",AB39&lt;&gt;""),IF(OR(LEFT(AB39,1)="T",LEFT(AB39,1)="S",LEFT(AB39,1)="A",LEFT(AB39,1)="F",LEFT(AB39,1)="C"),LEFT(AB39,1),"R"),FC$18),"")</f>
        <v>19</v>
      </c>
      <c r="FD39" s="88">
        <f t="shared" ref="FD39" si="1271">IFERROR(IF(AND($E40="H",AC39&lt;&gt;""),IF(OR(LEFT(AC39,1)="T",LEFT(AC39,1)="S",LEFT(AC39,1)="A",LEFT(AC39,1)="F",LEFT(AC39,1)="C"),LEFT(AC39,1),"R"),FD$18),"")</f>
        <v>20</v>
      </c>
      <c r="FE39" s="88">
        <f t="shared" ref="FE39" si="1272">IFERROR(IF(AND($E40="H",AD39&lt;&gt;""),IF(OR(LEFT(AD39,1)="T",LEFT(AD39,1)="S",LEFT(AD39,1)="A",LEFT(AD39,1)="F",LEFT(AD39,1)="C"),LEFT(AD39,1),"R"),FE$18),"")</f>
        <v>21</v>
      </c>
      <c r="FF39" s="88">
        <f t="shared" ref="FF39" si="1273">IFERROR(IF(AND($E40="H",AE39&lt;&gt;""),IF(OR(LEFT(AE39,1)="T",LEFT(AE39,1)="S",LEFT(AE39,1)="A",LEFT(AE39,1)="F",LEFT(AE39,1)="C"),LEFT(AE39,1),"R"),FF$18),"")</f>
        <v>22</v>
      </c>
      <c r="FG39" s="88">
        <f t="shared" ref="FG39" si="1274">IFERROR(IF(AND($E40="H",AF39&lt;&gt;""),IF(OR(LEFT(AF39,1)="T",LEFT(AF39,1)="S",LEFT(AF39,1)="A",LEFT(AF39,1)="F",LEFT(AF39,1)="C"),LEFT(AF39,1),"R"),FG$18),"")</f>
        <v>23</v>
      </c>
      <c r="FH39" s="88">
        <f t="shared" ref="FH39" si="1275">IFERROR(IF(AND($E40="H",AG39&lt;&gt;""),IF(OR(LEFT(AG39,1)="T",LEFT(AG39,1)="S",LEFT(AG39,1)="A",LEFT(AG39,1)="F",LEFT(AG39,1)="C"),LEFT(AG39,1),"R"),FH$18),"")</f>
        <v>24</v>
      </c>
      <c r="FI39" s="88">
        <f t="shared" ref="FI39" si="1276">IFERROR(IF(AND($E40="H",AH39&lt;&gt;""),IF(OR(LEFT(AH39,1)="T",LEFT(AH39,1)="S",LEFT(AH39,1)="A",LEFT(AH39,1)="F",LEFT(AH39,1)="C"),LEFT(AH39,1),"R"),FI$18),"")</f>
        <v>25</v>
      </c>
      <c r="FJ39" s="88">
        <f t="shared" ref="FJ39" si="1277">IFERROR(IF(AND($E40="H",AI39&lt;&gt;""),IF(OR(LEFT(AI39,1)="T",LEFT(AI39,1)="S",LEFT(AI39,1)="A",LEFT(AI39,1)="F",LEFT(AI39,1)="C"),LEFT(AI39,1),"R"),FJ$18),"")</f>
        <v>26</v>
      </c>
      <c r="FK39" s="88">
        <f t="shared" ref="FK39" si="1278">IFERROR(IF(AND($E40="H",AJ39&lt;&gt;""),IF(OR(LEFT(AJ39,1)="T",LEFT(AJ39,1)="S",LEFT(AJ39,1)="A",LEFT(AJ39,1)="F",LEFT(AJ39,1)="C"),LEFT(AJ39,1),"R"),FK$18),"")</f>
        <v>27</v>
      </c>
      <c r="FL39" s="88">
        <f t="shared" ref="FL39" si="1279">IFERROR(IF(AND($E40="H",AK39&lt;&gt;""),IF(OR(LEFT(AK39,1)="T",LEFT(AK39,1)="S",LEFT(AK39,1)="A",LEFT(AK39,1)="F",LEFT(AK39,1)="C"),LEFT(AK39,1),"R"),FL$18),"")</f>
        <v>28</v>
      </c>
      <c r="FM39" s="88">
        <f t="shared" ref="FM39" si="1280">IFERROR(IF(AND($E40="H",AL39&lt;&gt;""),IF(OR(LEFT(AL39,1)="T",LEFT(AL39,1)="S",LEFT(AL39,1)="A",LEFT(AL39,1)="F",LEFT(AL39,1)="C"),LEFT(AL39,1),"R"),FM$18),"")</f>
        <v>29</v>
      </c>
      <c r="FN39" s="88">
        <f t="shared" ref="FN39" si="1281">IFERROR(IF(AND($E40="H",AM39&lt;&gt;""),IF(OR(LEFT(AM39,1)="T",LEFT(AM39,1)="S",LEFT(AM39,1)="A",LEFT(AM39,1)="F",LEFT(AM39,1)="C"),LEFT(AM39,1),"R"),FN$18),"")</f>
        <v>30</v>
      </c>
      <c r="FO39" s="88"/>
      <c r="FP39" s="88"/>
      <c r="FQ39" s="88"/>
      <c r="FR39" s="285"/>
      <c r="FS39" s="285"/>
      <c r="FT39" s="285"/>
      <c r="FU39" s="285"/>
      <c r="FV39" s="285"/>
      <c r="FW39" s="285"/>
      <c r="FX39" s="285"/>
      <c r="FY39" s="285"/>
      <c r="FZ39" s="285"/>
      <c r="GA39" s="285"/>
      <c r="GB39" s="285"/>
      <c r="GC39" s="285"/>
      <c r="GD39" s="285"/>
      <c r="GE39" s="285"/>
      <c r="GF39" s="285"/>
      <c r="GG39" s="285"/>
      <c r="GH39" s="285"/>
      <c r="GI39" s="285"/>
      <c r="GJ39" s="285"/>
      <c r="GK39" s="285"/>
      <c r="GL39" s="285"/>
      <c r="GM39" s="285"/>
      <c r="GN39" s="285"/>
      <c r="GO39" s="285"/>
      <c r="GP39" s="285"/>
      <c r="GQ39" s="285"/>
      <c r="GR39" s="285"/>
      <c r="GS39" s="285"/>
      <c r="GT39" s="285"/>
      <c r="GU39" s="285"/>
      <c r="GV39" s="88"/>
      <c r="GW39" s="88">
        <f t="shared" ref="GW39" si="1282">COUNTIF($EK39:$FN39,GW$18)</f>
        <v>0</v>
      </c>
      <c r="GX39" s="88">
        <f t="shared" si="1021"/>
        <v>0</v>
      </c>
      <c r="GY39" s="88">
        <f t="shared" si="1021"/>
        <v>0</v>
      </c>
      <c r="GZ39" s="88">
        <f t="shared" si="1021"/>
        <v>0</v>
      </c>
      <c r="HA39" s="88">
        <f t="shared" si="1021"/>
        <v>0</v>
      </c>
      <c r="HB39" s="88">
        <f t="shared" si="1021"/>
        <v>0</v>
      </c>
      <c r="HC39" s="88"/>
      <c r="HD39" s="88" t="str">
        <f t="shared" ref="HD39" si="1283">IF(AND($F39="Hybrid - Thrust + 2 connections",HD40=0,LEFT($J39,1)="C",LEFT($K39,1)="C",LEFT($L39,1)="C"),"X","")</f>
        <v/>
      </c>
      <c r="HE39" s="88"/>
      <c r="HF39" s="91"/>
      <c r="HG39" s="100"/>
      <c r="HH39" s="100"/>
      <c r="HI39" s="91" t="str">
        <f t="shared" ref="HI39" si="1284">IF(E40=3,IF(_xlfn.NUMBERVALUE(LEFT(J39,1))&gt;0,_xlfn.NUMBERVALUE(LEFT(J39,1)),""),"")</f>
        <v/>
      </c>
      <c r="HK39" s="91" t="str">
        <f t="shared" ref="HK39" si="1285">IF(OR(E40="B",E40="P"),E40,"")</f>
        <v/>
      </c>
      <c r="HL39" s="91" t="str">
        <f>IF(AND(J39&lt;&gt;"",HK39&lt;&gt;""),IF(HK39="B",MATCH(J39,AcroDD!$U$3:$AE$3,0),MATCH(J39,AcroDD!$U$30:$AC$30,0)),"")</f>
        <v/>
      </c>
      <c r="HM39" s="91" t="str">
        <f t="shared" ref="HM39" si="1286">IF(AND(K39&lt;&gt;"",HK39&lt;&gt;""),K39,"")</f>
        <v/>
      </c>
      <c r="HN39" s="91" t="str">
        <f>_xlfn.LET(_xlpm.lista,IF(HK39="B",INDEX(AcroDD!$T$4:$AE$23,0,HL39+1),INDEX(AcroDD!$T$31:$AC$50,0,HL39+1)),IF(AND(OR(HK39="B",HK39="P"),HL39&lt;&gt;"",HM39&lt;&gt;""),IF(ISNUMBER(MATCH(HM39,_xlpm.lista,0)),"OK","X"),""))</f>
        <v/>
      </c>
    </row>
    <row r="40" spans="1:222" ht="12.75" customHeight="1" x14ac:dyDescent="0.35">
      <c r="A40" s="28"/>
      <c r="B40" s="29"/>
      <c r="C40" s="29"/>
      <c r="D40" s="29"/>
      <c r="E40" s="17" t="str">
        <f t="shared" ref="E40" si="1287">IF(F39="Acrobatic - Pair","PA",IF(F39="Acrobatic Airborn","A",IF(F39="Acrobatic Balance","B",IF(F39="Acrobatic Combined","C",IF(F39="Acrobatic Platform","P",IF(F39="Technical Required Element",3,IF(LEFT(F39,4)="Hybr","H","")))))))</f>
        <v/>
      </c>
      <c r="F40" s="17" t="str">
        <f>IF(AND(F39="Hybrid - Thrust + 2 connections",CR39="X"),"Hybrid - Thrust",IF(OR(E40="A",E40="B",E40="C",E40="P"),"Acrobatic",""))</f>
        <v/>
      </c>
      <c r="G40" s="31"/>
      <c r="H40" s="182" t="str">
        <f t="shared" ref="H40" si="1288">IF(E40="PA",IF(OR(LEFT(J39,1)="L",LEFT(J39,1)="S"),"A-Pair-Lift",IF(OR(LEFT(J39,1)="W",LEFT(J39,1)="T"),"A-Pair-Throw",IF(LEFT(J39,1)="J","A-Pair-Jump","A-Pair"))),IF(OR(E40="A",E40="B",E40="C",E40="P"),CONCATENATE("Acro-",E40),""))</f>
        <v/>
      </c>
      <c r="I40" s="176" t="e">
        <f>IF(OR(F39="Hybrid - Choreography (DD = 1)",LEFT(F39,5)="Trans"),0,INDEX($BY$3:$BY$9,MATCH(E40,$BX$3:$BX$9,0)))</f>
        <v>#N/A</v>
      </c>
      <c r="J40" s="171">
        <f ca="1">IFERROR(IF($H39="No DD",IF(J39="ChoHY",1,0),IF(OR(ISBLANK(J39),J39="N/A"),0,INDEX(INDIRECT(BI40),MATCH(J39,INDIRECT(BI39),0)))),0)</f>
        <v>0</v>
      </c>
      <c r="K40" s="171">
        <f t="shared" ref="K40:Y40" ca="1" si="1289">IFERROR(IF($H39="No DD",0,IF(OR(ISBLANK(K39),K39="N/A"),0,INDEX(INDIRECT(BJ40),MATCH(K39,INDIRECT(BJ39),0)))),0)</f>
        <v>0</v>
      </c>
      <c r="L40" s="171">
        <f t="shared" ca="1" si="1289"/>
        <v>0</v>
      </c>
      <c r="M40" s="171">
        <f t="shared" ca="1" si="1289"/>
        <v>0</v>
      </c>
      <c r="N40" s="171">
        <f t="shared" ca="1" si="1289"/>
        <v>0</v>
      </c>
      <c r="O40" s="171">
        <f t="shared" ca="1" si="1289"/>
        <v>0</v>
      </c>
      <c r="P40" s="171">
        <f t="shared" ca="1" si="1289"/>
        <v>0</v>
      </c>
      <c r="Q40" s="171">
        <f t="shared" ca="1" si="1289"/>
        <v>0</v>
      </c>
      <c r="R40" s="171">
        <f t="shared" ca="1" si="1289"/>
        <v>0</v>
      </c>
      <c r="S40" s="171">
        <f t="shared" ca="1" si="1289"/>
        <v>0</v>
      </c>
      <c r="T40" s="171">
        <f t="shared" ca="1" si="1289"/>
        <v>0</v>
      </c>
      <c r="U40" s="171">
        <f t="shared" ca="1" si="1289"/>
        <v>0</v>
      </c>
      <c r="V40" s="171">
        <f t="shared" ca="1" si="1289"/>
        <v>0</v>
      </c>
      <c r="W40" s="171">
        <f t="shared" ca="1" si="1289"/>
        <v>0</v>
      </c>
      <c r="X40" s="171">
        <f t="shared" ca="1" si="1289"/>
        <v>0</v>
      </c>
      <c r="Y40" s="171">
        <f t="shared" ca="1" si="1289"/>
        <v>0</v>
      </c>
      <c r="Z40" s="171">
        <f t="shared" ref="Z40" ca="1" si="1290">IFERROR(IF($H39="No DD",0,IF(OR(ISBLANK(Z39),Z39="N/A"),0,INDEX(INDIRECT(BY40),MATCH(Z39,INDIRECT(BY39),0)))),0)</f>
        <v>0</v>
      </c>
      <c r="AA40" s="171">
        <f t="shared" ref="AA40" ca="1" si="1291">IFERROR(IF($H39="No DD",0,IF(OR(ISBLANK(AA39),AA39="N/A"),0,INDEX(INDIRECT(BZ40),MATCH(AA39,INDIRECT(BZ39),0)))),0)</f>
        <v>0</v>
      </c>
      <c r="AB40" s="171">
        <f t="shared" ref="AB40" ca="1" si="1292">IFERROR(IF($H39="No DD",0,IF(OR(ISBLANK(AB39),AB39="N/A"),0,INDEX(INDIRECT(CA40),MATCH(AB39,INDIRECT(CA39),0)))),0)</f>
        <v>0</v>
      </c>
      <c r="AC40" s="171">
        <f t="shared" ref="AC40" ca="1" si="1293">IFERROR(IF($H39="No DD",0,IF(OR(ISBLANK(AC39),AC39="N/A"),0,INDEX(INDIRECT(CB40),MATCH(AC39,INDIRECT(CB39),0)))),0)</f>
        <v>0</v>
      </c>
      <c r="AD40" s="171">
        <f t="shared" ref="AD40" ca="1" si="1294">IFERROR(IF($H39="No DD",0,IF(OR(ISBLANK(AD39),AD39="N/A"),0,INDEX(INDIRECT(CC40),MATCH(AD39,INDIRECT(CC39),0)))),0)</f>
        <v>0</v>
      </c>
      <c r="AE40" s="171">
        <f t="shared" ref="AE40" ca="1" si="1295">IFERROR(IF($H39="No DD",0,IF(OR(ISBLANK(AE39),AE39="N/A"),0,INDEX(INDIRECT(CD40),MATCH(AE39,INDIRECT(CD39),0)))),0)</f>
        <v>0</v>
      </c>
      <c r="AF40" s="171">
        <f t="shared" ref="AF40" ca="1" si="1296">IFERROR(IF($H39="No DD",0,IF(OR(ISBLANK(AF39),AF39="N/A"),0,INDEX(INDIRECT(CE40),MATCH(AF39,INDIRECT(CE39),0)))),0)</f>
        <v>0</v>
      </c>
      <c r="AG40" s="171">
        <f t="shared" ref="AG40" ca="1" si="1297">IFERROR(IF($H39="No DD",0,IF(OR(ISBLANK(AG39),AG39="N/A"),0,INDEX(INDIRECT(CF40),MATCH(AG39,INDIRECT(CF39),0)))),0)</f>
        <v>0</v>
      </c>
      <c r="AH40" s="171">
        <f t="shared" ref="AH40" ca="1" si="1298">IFERROR(IF($H39="No DD",0,IF(OR(ISBLANK(AH39),AH39="N/A"),0,INDEX(INDIRECT(CG40),MATCH(AH39,INDIRECT(CG39),0)))),0)</f>
        <v>0</v>
      </c>
      <c r="AI40" s="171">
        <f t="shared" ref="AI40" ca="1" si="1299">IFERROR(IF($H39="No DD",0,IF(OR(ISBLANK(AI39),AI39="N/A"),0,INDEX(INDIRECT(CH40),MATCH(AI39,INDIRECT(CH39),0)))),0)</f>
        <v>0</v>
      </c>
      <c r="AJ40" s="171">
        <f t="shared" ref="AJ40" ca="1" si="1300">IFERROR(IF($H39="No DD",0,IF(OR(ISBLANK(AJ39),AJ39="N/A"),0,INDEX(INDIRECT(CI40),MATCH(AJ39,INDIRECT(CI39),0)))),0)</f>
        <v>0</v>
      </c>
      <c r="AK40" s="171">
        <f t="shared" ref="AK40" ca="1" si="1301">IFERROR(IF($H39="No DD",0,IF(OR(ISBLANK(AK39),AK39="N/A"),0,INDEX(INDIRECT(CJ40),MATCH(AK39,INDIRECT(CJ39),0)))),0)</f>
        <v>0</v>
      </c>
      <c r="AL40" s="171">
        <f t="shared" ref="AL40" ca="1" si="1302">IFERROR(IF($H39="No DD",0,IF(OR(ISBLANK(AL39),AL39="N/A"),0,INDEX(INDIRECT(CK40),MATCH(AL39,INDIRECT(CK39),0)))),0)</f>
        <v>0</v>
      </c>
      <c r="AM40" s="171">
        <f t="shared" ref="AM40" ca="1" si="1303">IFERROR(IF($H39="No DD",0,IF(OR(ISBLANK(AM39),AM39="N/A"),0,INDEX(INDIRECT(CL40),MATCH(AM39,INDIRECT(CL39),0)))),0)</f>
        <v>0</v>
      </c>
      <c r="AN40" s="172" t="str">
        <f>IFERROR(IF(E40="H",INDEX(HybridBonus_Value,MATCH(AN39,HybridBonus_Code,0)),""),"")</f>
        <v/>
      </c>
      <c r="AO40" s="276" t="str">
        <f t="shared" ref="AO40" si="1304">IFERROR(SUM(I40:AN40),"")</f>
        <v/>
      </c>
      <c r="AP40" s="62"/>
      <c r="AQ40" s="62"/>
      <c r="AR40" s="101"/>
      <c r="AS40" s="101"/>
      <c r="AT40" s="101"/>
      <c r="AU40" s="101"/>
      <c r="AV40" s="101"/>
      <c r="BA40" s="90"/>
      <c r="BB40" s="101"/>
      <c r="BC40" s="101"/>
      <c r="BD40" s="101"/>
      <c r="BE40" s="101"/>
      <c r="BF40" s="101"/>
      <c r="BG40" s="90"/>
      <c r="BH40" s="101"/>
      <c r="BI40" s="91" t="str">
        <f t="shared" ref="BI40" si="1305">IF($E40="H",IF($F39="Hybrid - Thrust + 2 connections","Hybrid_Mix_Req_Value","HybridDD_Value"),IF($E40=3,"TreDD_Value",IF($E40="PA","AcroPair_Value",IF(LEFT($F39,4)="Acro",CONCATENATE(BI$16,$E40,"_Value"),""))))</f>
        <v/>
      </c>
      <c r="BJ40" s="91" t="str">
        <f t="shared" ref="BJ40" si="1306">IF($E40="H",IF($F39="Hybrid - Thrust + 2 connections","Hybrid_Mix_Req_Value","HybridDD_Value"),IF($E40=3,"TreDD_Value",IF($E40="PA","AcroPair_Value",IF(LEFT($F39,4)="Acro",CONCATENATE(BJ$16,$E40,"_Value"),""))))</f>
        <v/>
      </c>
      <c r="BK40" s="91" t="str">
        <f t="shared" ref="BK40" si="1307">IF($E40="H",IF($F39="Hybrid - Thrust + 2 connections","Hybrid_Mix_Req_Value","HybridDD_Value"),IF($E40=3,"TreDD_Value",IF($E40="PA","AcroPair_Value",IF(LEFT($F39,4)="Acro",CONCATENATE(BK$16,$E40,"_Value"),""))))</f>
        <v/>
      </c>
      <c r="BL40" s="91" t="str">
        <f t="shared" ref="BL40" si="1308">IF($E40="H",IF($F39="Hybrid - Thrust + 2 connections","Hybrid_Mix_Req_Value","HybridDD_Value"),IF($E40=3,"TreDD_Value",IF($E40="PA","AcroPair_Value",IF(LEFT($F39,4)="Acro",CONCATENATE(BL$16,$E40,"_Value"),""))))</f>
        <v/>
      </c>
      <c r="BM40" s="91" t="str">
        <f t="shared" ref="BM40" si="1309">IF($E40="H",IF($F39="Hybrid - Thrust + 2 connections","Hybrid_Mix_Req_Value","HybridDD_Value"),IF($E40=3,"TreDD_Value",IF($E40="PA","AcroPair_Value",IF(LEFT($F39,4)="Acro",CONCATENATE(BM$16,$E40,"_Value"),""))))</f>
        <v/>
      </c>
      <c r="BN40" s="91" t="str">
        <f t="shared" ref="BN40" si="1310">IF($E40="H",IF($F39="Hybrid - Thrust + 2 connections","Hybrid_Mix_Req_Value","HybridDD_Value"),IF($E40=3,"TreDD_Value",IF($E40="PA","AcroPair_Value",IF(LEFT($F39,4)="Acro",CONCATENATE(BN$16,$E40,"_Value"),""))))</f>
        <v/>
      </c>
      <c r="BO40" s="91" t="str">
        <f t="shared" ref="BO40" si="1311">IF($E40="H",IF($F39="Hybrid - Thrust + 2 connections","Hybrid_Mix_Req_Value","HybridDD_Value"),IF($E40=3,"TreDD_Value",IF($E40="PA","AcroPair_Value",IF(LEFT($F39,4)="Acro",CONCATENATE(BO$16,$E40,"_Value"),""))))</f>
        <v/>
      </c>
      <c r="BP40" s="91" t="str">
        <f t="shared" ref="BP40" si="1312">IF($E40="H",IF($F39="Hybrid - Thrust + 2 connections","Hybrid_Mix_Req_Value","HybridDD_Value"),IF($E40=3,"TreDD_Value",IF($E40="PA","AcroPair_Value",IF(LEFT($F39,4)="Acro",CONCATENATE(BP$16,$E40,"_Value"),""))))</f>
        <v/>
      </c>
      <c r="BQ40" s="91" t="str">
        <f t="shared" ref="BQ40" si="1313">IF($E40="H",IF($F39="Hybrid - Thrust + 2 connections","Hybrid_Mix_Req_Value","HybridDD_Value"),IF($E40=3,"TreDD_Value",IF($E40="PA","AcroPair_Value",IF(LEFT($F39,4)="Acro",CONCATENATE(BQ$16,$E40,"_Value"),""))))</f>
        <v/>
      </c>
      <c r="BR40" s="90" t="str">
        <f t="shared" ref="BR40" si="1314">IF($E40="H",IF($F39="Hybrid - Thrust + 2 connections","Data!$BI$1:$BI$5","HybridDD_Value"),"Data!$BI$1:$BI$5")</f>
        <v>Data!$BI$1:$BI$5</v>
      </c>
      <c r="BS40" s="90" t="str">
        <f t="shared" ref="BS40" si="1315">IF($E40="H",IF($F39="Hybrid - Thrust + 2 connections","Data!$BI$1:$BI$5","HybridDD_Value"),"Data!$BI$1:$BI$5")</f>
        <v>Data!$BI$1:$BI$5</v>
      </c>
      <c r="BT40" s="90" t="str">
        <f t="shared" ref="BT40" si="1316">IF($E40="H",IF($F39="Hybrid - Thrust + 2 connections","Data!$BI$1:$BI$5","HybridDD_Value"),"Data!$BI$1:$BI$5")</f>
        <v>Data!$BI$1:$BI$5</v>
      </c>
      <c r="BU40" s="90" t="str">
        <f t="shared" ref="BU40" si="1317">IF($E40="H",IF($F39="Hybrid - Thrust + 2 connections","Data!$BI$1:$BI$5","HybridDD_Value"),"Data!$BI$1:$BI$5")</f>
        <v>Data!$BI$1:$BI$5</v>
      </c>
      <c r="BV40" s="90" t="str">
        <f t="shared" ref="BV40" si="1318">IF($E40="H",IF($F39="Hybrid - Thrust + 2 connections","Data!$BI$1:$BI$5","HybridDD_Value"),"Data!$BI$1:$BI$5")</f>
        <v>Data!$BI$1:$BI$5</v>
      </c>
      <c r="BW40" s="90" t="str">
        <f t="shared" ref="BW40" si="1319">IF($E40="H",IF($F39="Hybrid - Thrust + 2 connections","Data!$BI$1:$BI$5","HybridDD_Value"),"Data!$BI$1:$BI$5")</f>
        <v>Data!$BI$1:$BI$5</v>
      </c>
      <c r="BX40" s="90" t="str">
        <f t="shared" ref="BX40" si="1320">IF($E40="H",IF($F39="Hybrid - Thrust + 2 connections","Data!$BI$1:$BI$5","HybridDD_Value"),"Data!$BI$1:$BI$5")</f>
        <v>Data!$BI$1:$BI$5</v>
      </c>
      <c r="BY40" s="90" t="str">
        <f t="shared" ref="BY40" si="1321">IF($E40="H",IF($F39="Hybrid - Thrust + 2 connections","Data!$BI$1:$BI$5","HybridDD_Value"),"Data!$BI$1:$BI$5")</f>
        <v>Data!$BI$1:$BI$5</v>
      </c>
      <c r="BZ40" s="90" t="str">
        <f t="shared" ref="BZ40" si="1322">IF($E40="H",IF($F39="Hybrid - Thrust + 2 connections","Data!$BI$1:$BI$5","HybridDD_Value"),"Data!$BI$1:$BI$5")</f>
        <v>Data!$BI$1:$BI$5</v>
      </c>
      <c r="CA40" s="90" t="str">
        <f t="shared" ref="CA40" si="1323">IF($E40="H",IF($F39="Hybrid - Thrust + 2 connections","Data!$BI$1:$BI$5","HybridDD_Value"),"Data!$BI$1:$BI$5")</f>
        <v>Data!$BI$1:$BI$5</v>
      </c>
      <c r="CB40" s="90" t="str">
        <f t="shared" ref="CB40" si="1324">IF($E40="H",IF($F39="Hybrid - Thrust + 2 connections","Data!$BI$1:$BI$5","HybridDD_Value"),"Data!$BI$1:$BI$5")</f>
        <v>Data!$BI$1:$BI$5</v>
      </c>
      <c r="CC40" s="90" t="str">
        <f t="shared" ref="CC40" si="1325">IF($E40="H",IF($F39="Hybrid - Thrust + 2 connections","Data!$BI$1:$BI$5","HybridDD_Value"),"Data!$BI$1:$BI$5")</f>
        <v>Data!$BI$1:$BI$5</v>
      </c>
      <c r="CD40" s="90" t="str">
        <f t="shared" ref="CD40" si="1326">IF($E40="H",IF($F39="Hybrid - Thrust + 2 connections","Data!$BI$1:$BI$5","HybridDD_Value"),"Data!$BI$1:$BI$5")</f>
        <v>Data!$BI$1:$BI$5</v>
      </c>
      <c r="CE40" s="90" t="str">
        <f t="shared" ref="CE40" si="1327">IF($E40="H",IF($F39="Hybrid - Thrust + 2 connections","Data!$BI$1:$BI$5","HybridDD_Value"),"Data!$BI$1:$BI$5")</f>
        <v>Data!$BI$1:$BI$5</v>
      </c>
      <c r="CF40" s="90" t="str">
        <f t="shared" ref="CF40" si="1328">IF($E40="H",IF($F39="Hybrid - Thrust + 2 connections","Data!$BI$1:$BI$5","HybridDD_Value"),"Data!$BI$1:$BI$5")</f>
        <v>Data!$BI$1:$BI$5</v>
      </c>
      <c r="CG40" s="90" t="str">
        <f t="shared" ref="CG40" si="1329">IF($E40="H",IF($F39="Hybrid - Thrust + 2 connections","Data!$BI$1:$BI$5","HybridDD_Value"),"Data!$BI$1:$BI$5")</f>
        <v>Data!$BI$1:$BI$5</v>
      </c>
      <c r="CH40" s="90" t="str">
        <f t="shared" ref="CH40" si="1330">IF($E40="H",IF($F39="Hybrid - Thrust + 2 connections","Data!$BI$1:$BI$5","HybridDD_Value"),"Data!$BI$1:$BI$5")</f>
        <v>Data!$BI$1:$BI$5</v>
      </c>
      <c r="CI40" s="90" t="str">
        <f t="shared" ref="CI40" si="1331">IF($E40="H",IF($F39="Hybrid - Thrust + 2 connections","Data!$BI$1:$BI$5","HybridDD_Value"),"Data!$BI$1:$BI$5")</f>
        <v>Data!$BI$1:$BI$5</v>
      </c>
      <c r="CJ40" s="90" t="str">
        <f t="shared" ref="CJ40" si="1332">IF($E40="H",IF($F39="Hybrid - Thrust + 2 connections","Data!$BI$1:$BI$5","HybridDD_Value"),"Data!$BI$1:$BI$5")</f>
        <v>Data!$BI$1:$BI$5</v>
      </c>
      <c r="CK40" s="90" t="str">
        <f t="shared" ref="CK40" si="1333">IF($E40="H",IF($F39="Hybrid - Thrust + 2 connections","Data!$BI$1:$BI$5","HybridDD_Value"),"Data!$BI$1:$BI$5")</f>
        <v>Data!$BI$1:$BI$5</v>
      </c>
      <c r="CL40" s="90" t="str">
        <f t="shared" ref="CL40" si="1334">IF($E40="H",IF($F39="Hybrid - Thrust + 2 connections","Data!$BI$1:$BI$5","HybridDD_Value"),"Data!$BI$1:$BI$5")</f>
        <v>Data!$BI$1:$BI$5</v>
      </c>
      <c r="CM40" s="101"/>
      <c r="CN40" s="101"/>
      <c r="CO40" s="102" t="str">
        <f>IFERROR(IF(AND($BV$6="T",$BV$8="T",LEFT(F39,4)="Acro",AO40&gt;3),"X",IF($N$7="X",IF(AND(E40="C",AO40&gt;$CN$6),"X",IF(AND(E40="A",AO40&gt;$CN$4),"X",IF(AND(E40="B",AO40&gt;$CN$5),"X",IF(AND(E40="P",AO40&gt;$CN$7),"X","")))),"")),"")</f>
        <v/>
      </c>
      <c r="CP40" s="94"/>
      <c r="CQ40" s="91"/>
      <c r="CS40" s="91"/>
      <c r="CT40" s="91"/>
      <c r="CU40" s="91"/>
      <c r="CV40" s="91"/>
      <c r="CW40" s="91"/>
      <c r="CX40" s="91"/>
      <c r="CY40" s="91"/>
      <c r="CZ40" s="91"/>
      <c r="DD40" s="88" t="str">
        <f t="shared" si="10"/>
        <v/>
      </c>
      <c r="DE40" s="88" t="str">
        <f t="shared" si="11"/>
        <v/>
      </c>
      <c r="DF40" s="88" t="str">
        <f t="shared" si="12"/>
        <v/>
      </c>
      <c r="DG40" s="88" t="str">
        <f t="shared" si="13"/>
        <v/>
      </c>
      <c r="DO40" s="88">
        <v>22</v>
      </c>
      <c r="ED40" s="88" t="str">
        <f t="shared" si="14"/>
        <v/>
      </c>
      <c r="EE40" s="88" t="str">
        <f t="shared" si="15"/>
        <v/>
      </c>
      <c r="EI40" s="88" t="str" cm="1">
        <f t="array" ref="EI40">IFERROR(INDEX(EK40:FN40,MATCH(TRUE,INDEX((EK40:FN40&lt;&gt;""),),0)),"")</f>
        <v/>
      </c>
      <c r="EK40" s="88" t="str">
        <f t="shared" ref="EK40" si="1335">IF(F39="Hybrid - Thrust + 2 connections",IF(COUNTIF($EK39:$FN39,EK39)&gt;1,EK39,""),IF(COUNTIF($EK39:$FN39,EK39)&gt;5,EK39,""))</f>
        <v/>
      </c>
      <c r="EL40" s="88" t="str">
        <f t="shared" ref="EL40" si="1336">IF(G39="Hybrid - Thrust + 2 connections",IF(COUNTIF($EK39:$FN39,EL39)&gt;1,EL39,""),IF(COUNTIF($EK39:$FN39,EL39)&gt;5,EL39,""))</f>
        <v/>
      </c>
      <c r="EM40" s="88" t="str">
        <f t="shared" ref="EM40" si="1337">IF(H39="Hybrid - Thrust + 2 connections",IF(COUNTIF($EK39:$FN39,EM39)&gt;1,EM39,""),IF(COUNTIF($EK39:$FN39,EM39)&gt;5,EM39,""))</f>
        <v/>
      </c>
      <c r="EN40" s="88" t="str">
        <f t="shared" ref="EN40" si="1338">IF(I39="Hybrid - Thrust + 2 connections",IF(COUNTIF($EK39:$FN39,EN39)&gt;1,EN39,""),IF(COUNTIF($EK39:$FN39,EN39)&gt;5,EN39,""))</f>
        <v/>
      </c>
      <c r="EO40" s="88" t="str">
        <f t="shared" ref="EO40" si="1339">IF(J39="Hybrid - Thrust + 2 connections",IF(COUNTIF($EK39:$FN39,EO39)&gt;1,EO39,""),IF(COUNTIF($EK39:$FN39,EO39)&gt;5,EO39,""))</f>
        <v/>
      </c>
      <c r="EP40" s="88" t="str">
        <f t="shared" ref="EP40" si="1340">IF(K39="Hybrid - Thrust + 2 connections",IF(COUNTIF($EK39:$FN39,EP39)&gt;1,EP39,""),IF(COUNTIF($EK39:$FN39,EP39)&gt;5,EP39,""))</f>
        <v/>
      </c>
      <c r="EQ40" s="88" t="str">
        <f t="shared" ref="EQ40" si="1341">IF(L39="Hybrid - Thrust + 2 connections",IF(COUNTIF($EK39:$FN39,EQ39)&gt;1,EQ39,""),IF(COUNTIF($EK39:$FN39,EQ39)&gt;5,EQ39,""))</f>
        <v/>
      </c>
      <c r="ER40" s="88" t="str">
        <f t="shared" ref="ER40" si="1342">IF(M39="Hybrid - Thrust + 2 connections",IF(COUNTIF($EK39:$FN39,ER39)&gt;1,ER39,""),IF(COUNTIF($EK39:$FN39,ER39)&gt;5,ER39,""))</f>
        <v/>
      </c>
      <c r="ES40" s="88" t="str">
        <f t="shared" ref="ES40" si="1343">IF(N39="Hybrid - Thrust + 2 connections",IF(COUNTIF($EK39:$FN39,ES39)&gt;1,ES39,""),IF(COUNTIF($EK39:$FN39,ES39)&gt;5,ES39,""))</f>
        <v/>
      </c>
      <c r="ET40" s="88" t="str">
        <f t="shared" ref="ET40" si="1344">IF(O39="Hybrid - Thrust + 2 connections",IF(COUNTIF($EK39:$FN39,ET39)&gt;1,ET39,""),IF(COUNTIF($EK39:$FN39,ET39)&gt;5,ET39,""))</f>
        <v/>
      </c>
      <c r="EU40" s="88" t="str">
        <f t="shared" ref="EU40" si="1345">IF(P39="Hybrid - Thrust + 2 connections",IF(COUNTIF($EK39:$FN39,EU39)&gt;1,EU39,""),IF(COUNTIF($EK39:$FN39,EU39)&gt;5,EU39,""))</f>
        <v/>
      </c>
      <c r="EV40" s="88" t="str">
        <f t="shared" ref="EV40" si="1346">IF(Q39="Hybrid - Thrust + 2 connections",IF(COUNTIF($EK39:$FN39,EV39)&gt;1,EV39,""),IF(COUNTIF($EK39:$FN39,EV39)&gt;5,EV39,""))</f>
        <v/>
      </c>
      <c r="EW40" s="88" t="str">
        <f t="shared" ref="EW40" si="1347">IF(R39="Hybrid - Thrust + 2 connections",IF(COUNTIF($EK39:$FN39,EW39)&gt;1,EW39,""),IF(COUNTIF($EK39:$FN39,EW39)&gt;5,EW39,""))</f>
        <v/>
      </c>
      <c r="EX40" s="88" t="str">
        <f t="shared" ref="EX40" si="1348">IF(S39="Hybrid - Thrust + 2 connections",IF(COUNTIF($EK39:$FN39,EX39)&gt;1,EX39,""),IF(COUNTIF($EK39:$FN39,EX39)&gt;5,EX39,""))</f>
        <v/>
      </c>
      <c r="EY40" s="88" t="str">
        <f t="shared" ref="EY40" si="1349">IF(T39="Hybrid - Thrust + 2 connections",IF(COUNTIF($EK39:$FN39,EY39)&gt;1,EY39,""),IF(COUNTIF($EK39:$FN39,EY39)&gt;5,EY39,""))</f>
        <v/>
      </c>
      <c r="EZ40" s="88" t="str">
        <f t="shared" ref="EZ40" si="1350">IF(U39="Hybrid - Thrust + 2 connections",IF(COUNTIF($EK39:$FN39,EZ39)&gt;1,EZ39,""),IF(COUNTIF($EK39:$FN39,EZ39)&gt;5,EZ39,""))</f>
        <v/>
      </c>
      <c r="FA40" s="88" t="str">
        <f t="shared" ref="FA40" si="1351">IF(V39="Hybrid - Thrust + 2 connections",IF(COUNTIF($EK39:$FN39,FA39)&gt;1,FA39,""),IF(COUNTIF($EK39:$FN39,FA39)&gt;5,FA39,""))</f>
        <v/>
      </c>
      <c r="FB40" s="88" t="str">
        <f t="shared" ref="FB40" si="1352">IF(W39="Hybrid - Thrust + 2 connections",IF(COUNTIF($EK39:$FN39,FB39)&gt;1,FB39,""),IF(COUNTIF($EK39:$FN39,FB39)&gt;5,FB39,""))</f>
        <v/>
      </c>
      <c r="FC40" s="88" t="str">
        <f t="shared" ref="FC40" si="1353">IF(X39="Hybrid - Thrust + 2 connections",IF(COUNTIF($EK39:$FN39,FC39)&gt;1,FC39,""),IF(COUNTIF($EK39:$FN39,FC39)&gt;5,FC39,""))</f>
        <v/>
      </c>
      <c r="FD40" s="88" t="str">
        <f t="shared" ref="FD40" si="1354">IF(Y39="Hybrid - Thrust + 2 connections",IF(COUNTIF($EK39:$FN39,FD39)&gt;1,FD39,""),IF(COUNTIF($EK39:$FN39,FD39)&gt;5,FD39,""))</f>
        <v/>
      </c>
      <c r="FE40" s="88" t="str">
        <f t="shared" ref="FE40" si="1355">IF(Z39="Hybrid - Thrust + 2 connections",IF(COUNTIF($EK39:$FN39,FE39)&gt;1,FE39,""),IF(COUNTIF($EK39:$FN39,FE39)&gt;5,FE39,""))</f>
        <v/>
      </c>
      <c r="FF40" s="88" t="str">
        <f t="shared" ref="FF40" si="1356">IF(AA39="Hybrid - Thrust + 2 connections",IF(COUNTIF($EK39:$FN39,FF39)&gt;1,FF39,""),IF(COUNTIF($EK39:$FN39,FF39)&gt;5,FF39,""))</f>
        <v/>
      </c>
      <c r="FG40" s="88" t="str">
        <f t="shared" ref="FG40" si="1357">IF(AB39="Hybrid - Thrust + 2 connections",IF(COUNTIF($EK39:$FN39,FG39)&gt;1,FG39,""),IF(COUNTIF($EK39:$FN39,FG39)&gt;5,FG39,""))</f>
        <v/>
      </c>
      <c r="FH40" s="88" t="str">
        <f t="shared" ref="FH40" si="1358">IF(AC39="Hybrid - Thrust + 2 connections",IF(COUNTIF($EK39:$FN39,FH39)&gt;1,FH39,""),IF(COUNTIF($EK39:$FN39,FH39)&gt;5,FH39,""))</f>
        <v/>
      </c>
      <c r="FI40" s="88" t="str">
        <f t="shared" ref="FI40" si="1359">IF(AD39="Hybrid - Thrust + 2 connections",IF(COUNTIF($EK39:$FN39,FI39)&gt;1,FI39,""),IF(COUNTIF($EK39:$FN39,FI39)&gt;5,FI39,""))</f>
        <v/>
      </c>
      <c r="FJ40" s="88" t="str">
        <f t="shared" ref="FJ40" si="1360">IF(AE39="Hybrid - Thrust + 2 connections",IF(COUNTIF($EK39:$FN39,FJ39)&gt;1,FJ39,""),IF(COUNTIF($EK39:$FN39,FJ39)&gt;5,FJ39,""))</f>
        <v/>
      </c>
      <c r="FK40" s="88" t="str">
        <f t="shared" ref="FK40" si="1361">IF(AF39="Hybrid - Thrust + 2 connections",IF(COUNTIF($EK39:$FN39,FK39)&gt;1,FK39,""),IF(COUNTIF($EK39:$FN39,FK39)&gt;5,FK39,""))</f>
        <v/>
      </c>
      <c r="FL40" s="88" t="str">
        <f t="shared" ref="FL40" si="1362">IF(AG39="Hybrid - Thrust + 2 connections",IF(COUNTIF($EK39:$FN39,FL39)&gt;1,FL39,""),IF(COUNTIF($EK39:$FN39,FL39)&gt;5,FL39,""))</f>
        <v/>
      </c>
      <c r="FM40" s="88" t="str">
        <f t="shared" ref="FM40" si="1363">IF(AH39="Hybrid - Thrust + 2 connections",IF(COUNTIF($EK39:$FN39,FM39)&gt;1,FM39,""),IF(COUNTIF($EK39:$FN39,FM39)&gt;5,FM39,""))</f>
        <v/>
      </c>
      <c r="FN40" s="88" t="str">
        <f t="shared" ref="FN40" si="1364">IF(AI39="Hybrid - Thrust + 2 connections",IF(COUNTIF($EK39:$FN39,FN39)&gt;1,FN39,""),IF(COUNTIF($EK39:$FN39,FN39)&gt;5,FN39,""))</f>
        <v/>
      </c>
      <c r="FO40" s="88">
        <f t="shared" ref="FO40" si="1365">FO38+5</f>
        <v>50</v>
      </c>
      <c r="FP40" s="88" t="str" cm="1">
        <f t="array" ref="FP40">IF(FQ40&lt;&gt;"",LEFT(FQ40,FIND("*",FQ40)-1),INDEX($FP$75:$FP$172,FO40+1))</f>
        <v/>
      </c>
      <c r="FQ40" s="88" t="str" cm="1">
        <f t="array" ref="FQ40">INDEX($FQ$75:$FQ$172,FO40+1)</f>
        <v/>
      </c>
      <c r="FR40" s="285"/>
      <c r="FS40" s="285"/>
      <c r="FT40" s="285"/>
      <c r="FU40" s="285"/>
      <c r="FV40" s="285"/>
      <c r="FW40" s="285"/>
      <c r="FX40" s="285"/>
      <c r="FY40" s="285"/>
      <c r="FZ40" s="285"/>
      <c r="GA40" s="285"/>
      <c r="GB40" s="285"/>
      <c r="GC40" s="285"/>
      <c r="GD40" s="285"/>
      <c r="GE40" s="285"/>
      <c r="GF40" s="285"/>
      <c r="GG40" s="285"/>
      <c r="GH40" s="285"/>
      <c r="GI40" s="285"/>
      <c r="GJ40" s="285"/>
      <c r="GK40" s="285"/>
      <c r="GL40" s="285"/>
      <c r="GM40" s="285"/>
      <c r="GN40" s="285"/>
      <c r="GO40" s="285"/>
      <c r="GP40" s="285"/>
      <c r="GQ40" s="285"/>
      <c r="GR40" s="285"/>
      <c r="GS40" s="285"/>
      <c r="GT40" s="285"/>
      <c r="GU40" s="285"/>
      <c r="GV40" s="88"/>
      <c r="GW40" s="88"/>
      <c r="GX40" s="88"/>
      <c r="GY40" s="88"/>
      <c r="GZ40" s="88"/>
      <c r="HA40" s="88"/>
      <c r="HB40" s="88"/>
      <c r="HC40" s="88"/>
      <c r="HD40" s="88" t="str">
        <f>IF($F39="Hybrid - Thrust + 2 connections",COUNTBLANK(J39:L39),"")</f>
        <v/>
      </c>
      <c r="HE40" s="88"/>
      <c r="HF40" s="91"/>
      <c r="HG40" s="91"/>
      <c r="HH40" s="91"/>
      <c r="HI40" s="91"/>
    </row>
    <row r="41" spans="1:222" ht="12.75" customHeight="1" x14ac:dyDescent="0.35">
      <c r="A41" s="28" t="str">
        <f>IF(AND(E39="",A39&lt;&gt;""),IF(CP39=$CP$18,"",IF(C39&lt;&gt;"",IF(D39=59,MINUTE(CP39)+1,MINUTE(CP39)),"")),"")</f>
        <v/>
      </c>
      <c r="B41" s="29" t="str">
        <f>IF(AND(E39="",B39&lt;&gt;""),IF(CP39=$CP$18,"",IF(C39&lt;&gt;"",IF(D39=59,0,SECOND(CP39)+1),"")),"")</f>
        <v/>
      </c>
      <c r="C41" s="39"/>
      <c r="D41" s="39"/>
      <c r="E41" s="9"/>
      <c r="F41" s="40"/>
      <c r="G41" s="31" t="str">
        <f>IF(F41&lt;&gt;"",IF(OR(F41="Transition",F41="Transition - Surface Connection"),0,MAX($G$19:G40)+1),"")</f>
        <v/>
      </c>
      <c r="H41" s="43" t="str">
        <f>IFERROR(IF(E42="3","",IF(OR(F41="Hybrid - Choreography (DD = 1)",LEFT(F41,5)="Trans"),"No DD",CONCATENATE("BM = ",I42))),"")</f>
        <v/>
      </c>
      <c r="I41" s="44"/>
      <c r="J41" s="109"/>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58"/>
      <c r="AO41" s="32"/>
      <c r="AP41" s="61"/>
      <c r="AQ41" s="61"/>
      <c r="AR41" s="90"/>
      <c r="AS41" s="90"/>
      <c r="AT41" s="90"/>
      <c r="AU41" s="90"/>
      <c r="AV41" s="90"/>
      <c r="AW41" s="91" t="str">
        <f t="shared" ref="AW41" si="1366">E42</f>
        <v/>
      </c>
      <c r="AX41" s="94" t="str">
        <f t="shared" ref="AX41" si="1367">IF(AY41=0,"",TIME(0,A41,B41))</f>
        <v/>
      </c>
      <c r="AY41" s="94">
        <f t="shared" ref="AY41" si="1368">TIME(0,C41,D41)</f>
        <v>0</v>
      </c>
      <c r="AZ41" s="94" t="str">
        <f t="shared" ref="AZ41" si="1369">IFERROR(AY41-AX41,"")</f>
        <v/>
      </c>
      <c r="BA41" s="237" t="str">
        <f t="shared" ref="BA41" si="1370">IF($AX$17=0,"",IF(AND($C$10&lt;&gt;"",AW41="H",AZ41&gt;$AX$17),"X",""))</f>
        <v/>
      </c>
      <c r="BB41" s="90"/>
      <c r="BC41" s="90"/>
      <c r="BD41" s="90"/>
      <c r="BE41" s="90"/>
      <c r="BF41" s="90"/>
      <c r="BG41" s="90" t="str">
        <f>IFERROR(IF(F41&lt;&gt;"",INDEX(Parts_Active,MATCH(F41,Parts_Active,0)),""),"No")</f>
        <v/>
      </c>
      <c r="BH41" s="90"/>
      <c r="BI41" s="90" t="str">
        <f>IF($E42="H",IF($F41="Hybrid - Thrust + 2 connections","Hybrid_Mix_Req",IF($F41="Hybrid - Choreography (DD = 1)","Hybrid_ChoHY","HybridDD_Code")),IF($E42=3,"TreDD_Code",IF($E42="PA","AcroPair_Code",IF(LEFT($F41,4)="Acro",CONCATENATE(BI$16,$E42,"_Code"),"Data!$BI$1:$BI$5"))))</f>
        <v>Data!$BI$1:$BI$5</v>
      </c>
      <c r="BJ41" s="90" t="str">
        <f t="shared" ref="BJ41" si="1371">IF($E42="H",IF($F41="Hybrid - Thrust + 2 connections","Hybrid_Mix_Req",IF($F41="Hybrid - min 4 swimmers (no DD)","Data!$BI$1:$BI$5","HybridDD_Code")),IF($E42=3,"TreDD_Code",IF($E42="PA","AcroPair_Code",IF(LEFT($F41,4)="Acro",CONCATENATE(BJ$16,$E42,"_Code"),"Data!$BI$1:$BI$5"))))</f>
        <v>Data!$BI$1:$BI$5</v>
      </c>
      <c r="BK41" s="90" t="str">
        <f t="shared" si="978"/>
        <v>Data!$BI$1:$BI$5</v>
      </c>
      <c r="BL41" s="90" t="str">
        <f t="shared" si="978"/>
        <v>Data!$BI$1:$BI$5</v>
      </c>
      <c r="BM41" s="90" t="str">
        <f t="shared" si="978"/>
        <v>Data!$BI$1:$BI$5</v>
      </c>
      <c r="BN41" s="90" t="str">
        <f t="shared" si="978"/>
        <v>Data!$BI$1:$BI$5</v>
      </c>
      <c r="BO41" s="90" t="str">
        <f t="shared" si="978"/>
        <v>Data!$BI$1:$BI$5</v>
      </c>
      <c r="BP41" s="90" t="str">
        <f t="shared" si="978"/>
        <v>Data!$BI$1:$BI$5</v>
      </c>
      <c r="BQ41" s="90" t="str">
        <f t="shared" si="978"/>
        <v>Data!$BI$1:$BI$5</v>
      </c>
      <c r="BR41" s="90" t="str">
        <f t="shared" ref="BR41" si="1372">IF($E42="H",IF($F41="Hybrid - Thrust + 2 connections","Data!$BI$1:$BI$5","HybridDD_Code"),"Data!$BI$1:$BI$5")</f>
        <v>Data!$BI$1:$BI$5</v>
      </c>
      <c r="BS41" s="90" t="str">
        <f t="shared" si="445"/>
        <v>Data!$BI$1:$BI$5</v>
      </c>
      <c r="BT41" s="90" t="str">
        <f t="shared" si="445"/>
        <v>Data!$BI$1:$BI$5</v>
      </c>
      <c r="BU41" s="90" t="str">
        <f t="shared" si="445"/>
        <v>Data!$BI$1:$BI$5</v>
      </c>
      <c r="BV41" s="90" t="str">
        <f t="shared" si="445"/>
        <v>Data!$BI$1:$BI$5</v>
      </c>
      <c r="BW41" s="90" t="str">
        <f t="shared" si="445"/>
        <v>Data!$BI$1:$BI$5</v>
      </c>
      <c r="BX41" s="90" t="str">
        <f t="shared" si="445"/>
        <v>Data!$BI$1:$BI$5</v>
      </c>
      <c r="BY41" s="90" t="str">
        <f t="shared" si="445"/>
        <v>Data!$BI$1:$BI$5</v>
      </c>
      <c r="BZ41" s="90" t="str">
        <f t="shared" si="445"/>
        <v>Data!$BI$1:$BI$5</v>
      </c>
      <c r="CA41" s="90" t="str">
        <f t="shared" si="445"/>
        <v>Data!$BI$1:$BI$5</v>
      </c>
      <c r="CB41" s="90" t="str">
        <f t="shared" si="445"/>
        <v>Data!$BI$1:$BI$5</v>
      </c>
      <c r="CC41" s="90" t="str">
        <f t="shared" si="445"/>
        <v>Data!$BI$1:$BI$5</v>
      </c>
      <c r="CD41" s="90" t="str">
        <f t="shared" si="445"/>
        <v>Data!$BI$1:$BI$5</v>
      </c>
      <c r="CE41" s="90" t="str">
        <f t="shared" si="445"/>
        <v>Data!$BI$1:$BI$5</v>
      </c>
      <c r="CF41" s="90" t="str">
        <f t="shared" si="445"/>
        <v>Data!$BI$1:$BI$5</v>
      </c>
      <c r="CG41" s="90" t="str">
        <f t="shared" si="445"/>
        <v>Data!$BI$1:$BI$5</v>
      </c>
      <c r="CH41" s="90" t="str">
        <f t="shared" si="445"/>
        <v>Data!$BI$1:$BI$5</v>
      </c>
      <c r="CI41" s="90" t="str">
        <f t="shared" si="980"/>
        <v>Data!$BI$1:$BI$5</v>
      </c>
      <c r="CJ41" s="90" t="str">
        <f t="shared" si="980"/>
        <v>Data!$BI$1:$BI$5</v>
      </c>
      <c r="CK41" s="90" t="str">
        <f t="shared" si="980"/>
        <v>Data!$BI$1:$BI$5</v>
      </c>
      <c r="CL41" s="90" t="str">
        <f t="shared" si="980"/>
        <v>Data!$BI$1:$BI$5</v>
      </c>
      <c r="CM41" s="90"/>
      <c r="CN41" s="90"/>
      <c r="CO41" s="93" t="str">
        <f>IFERROR(TIME(0,A41,B41),"")</f>
        <v/>
      </c>
      <c r="CP41" s="94">
        <f>IFERROR(TIME(0,C41,D41),"")</f>
        <v>0</v>
      </c>
      <c r="CQ41" s="94" t="str">
        <f t="shared" ref="CQ41" si="1373">IF(CP41&gt;$D$12,"X","")</f>
        <v/>
      </c>
      <c r="CR41" s="88" t="str">
        <f>IF(AND(F41="Hybrid - Thrust + 2 connections",OR(LEFT(J41,1)="T",LEFT(K41,1)="T",LEFT(L41,1)="T",LEFT(PB41,1)="T",LEFT(M41,1)="T",LEFT(N41,1)="T",LEFT(O41,1)="T",LEFT(P41,1)="T",LEFT(Q41,1)="T",LEFT(R41,1)="T",LEFT(S41,1)="T",LEFT(T41,1)="T",LEFT(U41,1)="T",LEFT(V41,1)="T",LEFT(W41,1)="T",LEFT(X41,1)="T",LEFT(AK41,1)="T",LEFT(AL41,1)="T",LEFT(AM41,1)="T")),IF(OR(LEN(J41)=2,LEN(K41)=2,LEN(L41)=2,LEN(M41)=2,LEN(N41)=2,LEN(O41)=2,LEN(P41)=2,LEN(Q41)=2,LEN(R41)=2,LEN(S41)=2,LEN(T41)=2,LEN(U41)=2,LEN(V41)=2,LEN(W41)=2,LEN(X41)=2,LEN(Y41)=2,LEN(Z41)=2,LEN(AK41)=2,LEN(AL41)=2,LEN(AM41)=2),"X",""),"")</f>
        <v/>
      </c>
      <c r="CS41" s="91"/>
      <c r="CT41" s="88" t="str">
        <f>IF(LEFT(F41,4)="Acro",IF(AND(N41&lt;&gt;"",M41=RIGHT(N41,2)),"X","OK"),"")</f>
        <v/>
      </c>
      <c r="CU41" s="90" t="str">
        <f t="shared" ref="CU41:DB41" si="1374">IFERROR(IF(AND(LEFT($F41,4)="Acro",INDEX(Requ_App,MATCH(BI41,Requ_Code,0))="No"),"X",""),"")</f>
        <v/>
      </c>
      <c r="CV41" s="90" t="str">
        <f t="shared" si="1374"/>
        <v/>
      </c>
      <c r="CW41" s="90" t="str">
        <f t="shared" si="1374"/>
        <v/>
      </c>
      <c r="CX41" s="90" t="str">
        <f t="shared" si="1374"/>
        <v/>
      </c>
      <c r="CY41" s="90" t="str">
        <f t="shared" si="1374"/>
        <v/>
      </c>
      <c r="CZ41" s="90" t="str">
        <f t="shared" si="1374"/>
        <v/>
      </c>
      <c r="DA41" s="90" t="str">
        <f t="shared" si="1374"/>
        <v/>
      </c>
      <c r="DB41" s="90" t="str">
        <f t="shared" si="1374"/>
        <v/>
      </c>
      <c r="DC41" s="90" t="str">
        <f>IFERROR(IF(AND(LEFT($F41,4)="Acro",INDEX(Requ_App,MATCH(BP41,Requ_Code,0))="No"),"X",""),"")</f>
        <v/>
      </c>
      <c r="DD41" s="88" t="str">
        <f t="shared" si="10"/>
        <v/>
      </c>
      <c r="DE41" s="88" t="str">
        <f t="shared" si="11"/>
        <v/>
      </c>
      <c r="DF41" s="88" t="str">
        <f t="shared" si="12"/>
        <v/>
      </c>
      <c r="DG41" s="88" t="str">
        <f t="shared" si="13"/>
        <v/>
      </c>
      <c r="DK41" s="88">
        <f t="shared" ref="DK41" si="1375">IF(AND(E42="A",OR(Q41="Grip",Q41="Conn",Q41="Catch")),"A1",IF(AND(E42="A",OR(Q41="Hula",Q41="RetSq",Q41="RetPa")),"A2",IF(AND(E42="B",OR(Q41="Twirl",Q41="RotF")),"B1",IF(AND(E42="B",OR(Q41="Moon",Q41="Mov",Q41="Hold")),"B2",IF(AND(E42="P",OR(Q41="Porp",Q41="Splch")),"P1",IF(AND(E42="P",OR(Q41="Diva",Q41="Stand")),"P2",IF(AND(E42="P",OR(Q41="Spider",Q41="Climb")),"P3",IF(AND(E42="P",OR(Q41="Fall",Q41="FTurn")),"P4",IF(AND(E42="C",OR(Q41="Jump",Q41="Jump&gt;",Q41="On1Foot",Q41="1F&gt;1F")),"C1",IF(AND(E42="C",OR(Q41="Run",Q41="BRun")),"C2",1))))))))))</f>
        <v>1</v>
      </c>
      <c r="DL41" s="88">
        <f t="shared" ref="DL41" si="1376">IF(AND(E42="A",OR(R41="Grip",R41="Conn",R41="Catch")),"A1",IF(AND(E42="A",OR(R41="Hula",R41="RetSq",R41="RetPa")),"A2",IF(AND(E42="B",OR(R41="Twirl",R41="RotF")),"B1",IF(AND(E42="B",OR(R41="Moon",R41="Mov",R41="Hold")),"B2",IF(AND(E42="P",OR(R41="Porp",R41="Spich")),"P1",IF(AND(E42="P",OR(R41="Diva",R41="Stand")),"P2",IF(AND(E42="P",OR(R41="Spider",R41="Climb")),"P3",IF(AND(E42="P",OR(R41="Fall",R41="FTurn")),"P4",IF(AND(E42="C",OR(R41="Jump",R41="Jump&gt;",R41="On1Foot",R41="1F&gt;1F")),"C1",IF(AND(E42="C",OR(R41="Run",R41="BRun")),"C2",2))))))))))</f>
        <v>2</v>
      </c>
      <c r="DM41" s="88" t="str">
        <f t="shared" ref="DM41" si="1377">IF(AND(N41="",OR(Q41&lt;&gt;"",R41&lt;&gt;"")),"X",IF(AND(LEFT(F41,4)="Acro",Q41&lt;&gt;"",OR(Q41=R41,DK41=DL41)),IF(R41="C-Roll","","X"),IF(OR(AND(E42="A",Q41="Catch",R41&lt;&gt;"Dbl"),AND(E42="A",R41="Catch",Q41&lt;&gt;"Dbl")),"X","")))</f>
        <v/>
      </c>
      <c r="DN41" s="88" t="str">
        <f>IF(E42="PA",J41,"")</f>
        <v/>
      </c>
      <c r="DO41" s="88">
        <v>23</v>
      </c>
      <c r="DQ41" s="88" t="str">
        <f>IF(AND($E42="A",COUNTIF($DZ$19:$EA$68,DZ41)&gt;1),DZ41,"")</f>
        <v/>
      </c>
      <c r="DR41" s="88" t="str">
        <f>IF(AND($E42="A",COUNTIF($DZ$19:$EA$68,EA41)&gt;1),EA41,"")</f>
        <v/>
      </c>
      <c r="DS41" s="88" t="str">
        <f ca="1">IF(AND($E42="B",COUNTIF($J$19:$J$68,J41)&gt;1),J41,"")</f>
        <v/>
      </c>
      <c r="DT41" s="88" t="str">
        <f ca="1">IF(AND($E42="B",COUNTIF($K$19:$K$68,K41)&gt;1),K41,"")</f>
        <v/>
      </c>
      <c r="DU41" s="88" t="str">
        <f ca="1">IF(AND($E42="C",COUNTIF($J$19:$J$68,J41)&gt;1),J41,"")</f>
        <v/>
      </c>
      <c r="DV41" s="88" t="str">
        <f ca="1">IF(AND($E42="P",COUNTIF($J$19:$J$68,J41)&gt;1),J41,"")</f>
        <v/>
      </c>
      <c r="DW41" s="88" t="str">
        <f ca="1">IF(AND($E42="P",COUNTIF($K$19:$K$68,K41)&gt;1),K41,"")</f>
        <v/>
      </c>
      <c r="DX41" s="88" t="str">
        <f>IF(AND($E42="P",COUNTIF($DZ$19:$EA$68,DZ41)&gt;1),DZ41,"")</f>
        <v/>
      </c>
      <c r="DY41" s="88" t="str">
        <f>IF(AND($E42="P",COUNTIF($DZ$19:$EA$68,EA41)&gt;1),EA41,"")</f>
        <v/>
      </c>
      <c r="DZ41" s="88" t="str">
        <f>IFERROR(IF(OR(E42="A",E42="P"),M41,""),"")</f>
        <v/>
      </c>
      <c r="EA41" s="88" t="str">
        <f>IFERROR(IF(OR(E42="A",E42="P"),RIGHT(N41,2),""),"")</f>
        <v/>
      </c>
      <c r="EB41" s="88" t="str">
        <f t="shared" ref="EB41" si="1378">IF(Q41="","",IF(AND($E42="P",COUNTIF($Q$19:$R$68,Q41)&gt;1),Q41,""))</f>
        <v/>
      </c>
      <c r="EC41" s="88" t="str">
        <f t="shared" ref="EC41" si="1379">IF(R41="","",IF(AND($E42="P",COUNTIF($Q$19:$R$68,R41)&gt;1),R41,""))</f>
        <v/>
      </c>
      <c r="ED41" s="88" t="str">
        <f t="shared" si="14"/>
        <v/>
      </c>
      <c r="EE41" s="88" t="str">
        <f t="shared" si="15"/>
        <v/>
      </c>
      <c r="EF41" s="88" t="str">
        <f t="shared" ref="EF41" si="1380">IF(AND(OR($F$8="Open Team Acrobatic",$F$8="Open Team Technical"),LEFT(F41,4)="Acro"),E42,"")</f>
        <v/>
      </c>
      <c r="EG41" s="88" t="str">
        <f t="shared" ref="EG41" si="1381">IF(EF41="","",IFERROR(IF($F$8="Open Team Acrobatic",IF(HLOOKUP(EF41,$DQ$12:$DT$13,2,FALSE)&gt;2,"X",""),IF(HLOOKUP(EF41,$DQ$12:$DT$13,2,FALSE)&gt;1,"X","")),""))</f>
        <v/>
      </c>
      <c r="EI41" s="88" t="str">
        <f t="shared" ref="EI41" si="1382">IF(OR(AND(F41="Hybrid - Thrust + 2 connections",EI42="T"),AND(E42="H",EI42&lt;&gt;"",EI95="X")),"X","")</f>
        <v/>
      </c>
      <c r="EK41" s="88">
        <f t="shared" ref="EK41" si="1383">IFERROR(IF(AND($E42="H",J41&lt;&gt;"",J41&lt;&gt;"ChoHY"),IF(OR(LEFT(J41,1)="T",LEFT(J41,1)="S",LEFT(J41,1)="A",LEFT(J41,1)="F",LEFT(J41,1)="C"),LEFT(J41,1),"R"),EK$18),"")</f>
        <v>1</v>
      </c>
      <c r="EL41" s="88">
        <f t="shared" ref="EL41" si="1384">IFERROR(IF(AND($E42="H",K41&lt;&gt;""),IF(OR(LEFT(K41,1)="T",LEFT(K41,1)="S",LEFT(K41,1)="A",LEFT(K41,1)="F",LEFT(K41,1)="C"),LEFT(K41,1),"R"),EL$18),"")</f>
        <v>2</v>
      </c>
      <c r="EM41" s="88">
        <f t="shared" ref="EM41" si="1385">IFERROR(IF(AND($E42="H",L41&lt;&gt;""),IF(OR(LEFT(L41,1)="T",LEFT(L41,1)="S",LEFT(L41,1)="A",LEFT(L41,1)="F",LEFT(L41,1)="C"),LEFT(L41,1),"R"),EM$18),"")</f>
        <v>3</v>
      </c>
      <c r="EN41" s="88">
        <f t="shared" ref="EN41" si="1386">IFERROR(IF(AND($E42="H",M41&lt;&gt;""),IF(OR(LEFT(M41,1)="T",LEFT(M41,1)="S",LEFT(M41,1)="A",LEFT(M41,1)="F",LEFT(M41,1)="C"),LEFT(M41,1),"R"),EN$18),"")</f>
        <v>4</v>
      </c>
      <c r="EO41" s="88">
        <f t="shared" ref="EO41" si="1387">IFERROR(IF(AND($E42="H",N41&lt;&gt;""),IF(OR(LEFT(N41,1)="T",LEFT(N41,1)="S",LEFT(N41,1)="A",LEFT(N41,1)="F",LEFT(N41,1)="C"),LEFT(N41,1),"R"),EO$18),"")</f>
        <v>5</v>
      </c>
      <c r="EP41" s="88">
        <f t="shared" ref="EP41" si="1388">IFERROR(IF(AND($E42="H",O41&lt;&gt;""),IF(OR(LEFT(O41,1)="T",LEFT(O41,1)="S",LEFT(O41,1)="A",LEFT(O41,1)="F",LEFT(O41,1)="C"),LEFT(O41,1),"R"),EP$18),"")</f>
        <v>6</v>
      </c>
      <c r="EQ41" s="88">
        <f t="shared" ref="EQ41" si="1389">IFERROR(IF(AND($E42="H",P41&lt;&gt;""),IF(OR(LEFT(P41,1)="T",LEFT(P41,1)="S",LEFT(P41,1)="A",LEFT(P41,1)="F",LEFT(P41,1)="C"),LEFT(P41,1),"R"),EQ$18),"")</f>
        <v>7</v>
      </c>
      <c r="ER41" s="88">
        <f t="shared" ref="ER41" si="1390">IFERROR(IF(AND($E42="H",Q41&lt;&gt;""),IF(OR(LEFT(Q41,1)="T",LEFT(Q41,1)="S",LEFT(Q41,1)="A",LEFT(Q41,1)="F",LEFT(Q41,1)="C"),LEFT(Q41,1),"R"),ER$18),"")</f>
        <v>8</v>
      </c>
      <c r="ES41" s="88">
        <f t="shared" ref="ES41" si="1391">IFERROR(IF(AND($E42="H",R41&lt;&gt;""),IF(OR(LEFT(R41,1)="T",LEFT(R41,1)="S",LEFT(R41,1)="A",LEFT(R41,1)="F",LEFT(R41,1)="C"),LEFT(R41,1),"R"),ES$18),"")</f>
        <v>9</v>
      </c>
      <c r="ET41" s="88">
        <f t="shared" ref="ET41" si="1392">IFERROR(IF(AND($E42="H",S41&lt;&gt;""),IF(OR(LEFT(S41,1)="T",LEFT(S41,1)="S",LEFT(S41,1)="A",LEFT(S41,1)="F",LEFT(S41,1)="C"),LEFT(S41,1),"R"),ET$18),"")</f>
        <v>10</v>
      </c>
      <c r="EU41" s="88">
        <f t="shared" ref="EU41" si="1393">IFERROR(IF(AND($E42="H",T41&lt;&gt;""),IF(OR(LEFT(T41,1)="T",LEFT(T41,1)="S",LEFT(T41,1)="A",LEFT(T41,1)="F",LEFT(T41,1)="C"),LEFT(T41,1),"R"),EU$18),"")</f>
        <v>11</v>
      </c>
      <c r="EV41" s="88">
        <f t="shared" ref="EV41" si="1394">IFERROR(IF(AND($E42="H",U41&lt;&gt;""),IF(OR(LEFT(U41,1)="T",LEFT(U41,1)="S",LEFT(U41,1)="A",LEFT(U41,1)="F",LEFT(U41,1)="C"),LEFT(U41,1),"R"),EV$18),"")</f>
        <v>12</v>
      </c>
      <c r="EW41" s="88">
        <f t="shared" ref="EW41" si="1395">IFERROR(IF(AND($E42="H",V41&lt;&gt;""),IF(OR(LEFT(V41,1)="T",LEFT(V41,1)="S",LEFT(V41,1)="A",LEFT(V41,1)="F",LEFT(V41,1)="C"),LEFT(V41,1),"R"),EW$18),"")</f>
        <v>13</v>
      </c>
      <c r="EX41" s="88">
        <f t="shared" ref="EX41" si="1396">IFERROR(IF(AND($E42="H",W41&lt;&gt;""),IF(OR(LEFT(W41,1)="T",LEFT(W41,1)="S",LEFT(W41,1)="A",LEFT(W41,1)="F",LEFT(W41,1)="C"),LEFT(W41,1),"R"),EX$18),"")</f>
        <v>14</v>
      </c>
      <c r="EY41" s="88">
        <f t="shared" ref="EY41" si="1397">IFERROR(IF(AND($E42="H",X41&lt;&gt;""),IF(OR(LEFT(X41,1)="T",LEFT(X41,1)="S",LEFT(X41,1)="A",LEFT(X41,1)="F",LEFT(X41,1)="C"),LEFT(X41,1),"R"),EY$18),"")</f>
        <v>15</v>
      </c>
      <c r="EZ41" s="88">
        <f t="shared" ref="EZ41" si="1398">IFERROR(IF(AND($E42="H",Y41&lt;&gt;""),IF(OR(LEFT(Y41,1)="T",LEFT(Y41,1)="S",LEFT(Y41,1)="A",LEFT(Y41,1)="F",LEFT(Y41,1)="C"),LEFT(Y41,1),"R"),EZ$18),"")</f>
        <v>16</v>
      </c>
      <c r="FA41" s="88">
        <f t="shared" ref="FA41" si="1399">IFERROR(IF(AND($E42="H",Z41&lt;&gt;""),IF(OR(LEFT(Z41,1)="T",LEFT(Z41,1)="S",LEFT(Z41,1)="A",LEFT(Z41,1)="F",LEFT(Z41,1)="C"),LEFT(Z41,1),"R"),FA$18),"")</f>
        <v>17</v>
      </c>
      <c r="FB41" s="88">
        <f t="shared" ref="FB41" si="1400">IFERROR(IF(AND($E42="H",AA41&lt;&gt;""),IF(OR(LEFT(AA41,1)="T",LEFT(AA41,1)="S",LEFT(AA41,1)="A",LEFT(AA41,1)="F",LEFT(AA41,1)="C"),LEFT(AA41,1),"R"),FB$18),"")</f>
        <v>18</v>
      </c>
      <c r="FC41" s="88">
        <f t="shared" ref="FC41" si="1401">IFERROR(IF(AND($E42="H",AB41&lt;&gt;""),IF(OR(LEFT(AB41,1)="T",LEFT(AB41,1)="S",LEFT(AB41,1)="A",LEFT(AB41,1)="F",LEFT(AB41,1)="C"),LEFT(AB41,1),"R"),FC$18),"")</f>
        <v>19</v>
      </c>
      <c r="FD41" s="88">
        <f t="shared" ref="FD41" si="1402">IFERROR(IF(AND($E42="H",AC41&lt;&gt;""),IF(OR(LEFT(AC41,1)="T",LEFT(AC41,1)="S",LEFT(AC41,1)="A",LEFT(AC41,1)="F",LEFT(AC41,1)="C"),LEFT(AC41,1),"R"),FD$18),"")</f>
        <v>20</v>
      </c>
      <c r="FE41" s="88">
        <f t="shared" ref="FE41" si="1403">IFERROR(IF(AND($E42="H",AD41&lt;&gt;""),IF(OR(LEFT(AD41,1)="T",LEFT(AD41,1)="S",LEFT(AD41,1)="A",LEFT(AD41,1)="F",LEFT(AD41,1)="C"),LEFT(AD41,1),"R"),FE$18),"")</f>
        <v>21</v>
      </c>
      <c r="FF41" s="88">
        <f t="shared" ref="FF41" si="1404">IFERROR(IF(AND($E42="H",AE41&lt;&gt;""),IF(OR(LEFT(AE41,1)="T",LEFT(AE41,1)="S",LEFT(AE41,1)="A",LEFT(AE41,1)="F",LEFT(AE41,1)="C"),LEFT(AE41,1),"R"),FF$18),"")</f>
        <v>22</v>
      </c>
      <c r="FG41" s="88">
        <f t="shared" ref="FG41" si="1405">IFERROR(IF(AND($E42="H",AF41&lt;&gt;""),IF(OR(LEFT(AF41,1)="T",LEFT(AF41,1)="S",LEFT(AF41,1)="A",LEFT(AF41,1)="F",LEFT(AF41,1)="C"),LEFT(AF41,1),"R"),FG$18),"")</f>
        <v>23</v>
      </c>
      <c r="FH41" s="88">
        <f t="shared" ref="FH41" si="1406">IFERROR(IF(AND($E42="H",AG41&lt;&gt;""),IF(OR(LEFT(AG41,1)="T",LEFT(AG41,1)="S",LEFT(AG41,1)="A",LEFT(AG41,1)="F",LEFT(AG41,1)="C"),LEFT(AG41,1),"R"),FH$18),"")</f>
        <v>24</v>
      </c>
      <c r="FI41" s="88">
        <f t="shared" ref="FI41" si="1407">IFERROR(IF(AND($E42="H",AH41&lt;&gt;""),IF(OR(LEFT(AH41,1)="T",LEFT(AH41,1)="S",LEFT(AH41,1)="A",LEFT(AH41,1)="F",LEFT(AH41,1)="C"),LEFT(AH41,1),"R"),FI$18),"")</f>
        <v>25</v>
      </c>
      <c r="FJ41" s="88">
        <f t="shared" ref="FJ41" si="1408">IFERROR(IF(AND($E42="H",AI41&lt;&gt;""),IF(OR(LEFT(AI41,1)="T",LEFT(AI41,1)="S",LEFT(AI41,1)="A",LEFT(AI41,1)="F",LEFT(AI41,1)="C"),LEFT(AI41,1),"R"),FJ$18),"")</f>
        <v>26</v>
      </c>
      <c r="FK41" s="88">
        <f t="shared" ref="FK41" si="1409">IFERROR(IF(AND($E42="H",AJ41&lt;&gt;""),IF(OR(LEFT(AJ41,1)="T",LEFT(AJ41,1)="S",LEFT(AJ41,1)="A",LEFT(AJ41,1)="F",LEFT(AJ41,1)="C"),LEFT(AJ41,1),"R"),FK$18),"")</f>
        <v>27</v>
      </c>
      <c r="FL41" s="88">
        <f t="shared" ref="FL41" si="1410">IFERROR(IF(AND($E42="H",AK41&lt;&gt;""),IF(OR(LEFT(AK41,1)="T",LEFT(AK41,1)="S",LEFT(AK41,1)="A",LEFT(AK41,1)="F",LEFT(AK41,1)="C"),LEFT(AK41,1),"R"),FL$18),"")</f>
        <v>28</v>
      </c>
      <c r="FM41" s="88">
        <f t="shared" ref="FM41" si="1411">IFERROR(IF(AND($E42="H",AL41&lt;&gt;""),IF(OR(LEFT(AL41,1)="T",LEFT(AL41,1)="S",LEFT(AL41,1)="A",LEFT(AL41,1)="F",LEFT(AL41,1)="C"),LEFT(AL41,1),"R"),FM$18),"")</f>
        <v>29</v>
      </c>
      <c r="FN41" s="88">
        <f t="shared" ref="FN41" si="1412">IFERROR(IF(AND($E42="H",AM41&lt;&gt;""),IF(OR(LEFT(AM41,1)="T",LEFT(AM41,1)="S",LEFT(AM41,1)="A",LEFT(AM41,1)="F",LEFT(AM41,1)="C"),LEFT(AM41,1),"R"),FN$18),"")</f>
        <v>30</v>
      </c>
      <c r="FO41" s="88"/>
      <c r="FP41" s="88"/>
      <c r="FQ41" s="88"/>
      <c r="FR41" s="285"/>
      <c r="FS41" s="285"/>
      <c r="FT41" s="285"/>
      <c r="FU41" s="285"/>
      <c r="FV41" s="285"/>
      <c r="FW41" s="285"/>
      <c r="FX41" s="285"/>
      <c r="FY41" s="285"/>
      <c r="FZ41" s="285"/>
      <c r="GA41" s="285"/>
      <c r="GB41" s="285"/>
      <c r="GC41" s="285"/>
      <c r="GD41" s="285"/>
      <c r="GE41" s="285"/>
      <c r="GF41" s="285"/>
      <c r="GG41" s="285"/>
      <c r="GH41" s="285"/>
      <c r="GI41" s="285"/>
      <c r="GJ41" s="285"/>
      <c r="GK41" s="285"/>
      <c r="GL41" s="285"/>
      <c r="GM41" s="285"/>
      <c r="GN41" s="285"/>
      <c r="GO41" s="285"/>
      <c r="GP41" s="285"/>
      <c r="GQ41" s="285"/>
      <c r="GR41" s="285"/>
      <c r="GS41" s="285"/>
      <c r="GT41" s="285"/>
      <c r="GU41" s="285"/>
      <c r="GV41" s="88"/>
      <c r="GW41" s="88">
        <f t="shared" ref="GW41" si="1413">COUNTIF($EK41:$FN41,GW$18)</f>
        <v>0</v>
      </c>
      <c r="GX41" s="88">
        <f t="shared" si="1021"/>
        <v>0</v>
      </c>
      <c r="GY41" s="88">
        <f t="shared" si="1021"/>
        <v>0</v>
      </c>
      <c r="GZ41" s="88">
        <f t="shared" si="1021"/>
        <v>0</v>
      </c>
      <c r="HA41" s="88">
        <f t="shared" si="1021"/>
        <v>0</v>
      </c>
      <c r="HB41" s="88">
        <f t="shared" si="1021"/>
        <v>0</v>
      </c>
      <c r="HC41" s="88"/>
      <c r="HD41" s="88" t="str">
        <f t="shared" ref="HD41" si="1414">IF(AND($F41="Hybrid - Thrust + 2 connections",HD42=0,LEFT($J41,1)="C",LEFT($K41,1)="C",LEFT($L41,1)="C"),"X","")</f>
        <v/>
      </c>
      <c r="HE41" s="88"/>
      <c r="HF41" s="91"/>
      <c r="HG41" s="100"/>
      <c r="HH41" s="100"/>
      <c r="HI41" s="91" t="str">
        <f t="shared" ref="HI41" si="1415">IF(E42=3,IF(_xlfn.NUMBERVALUE(LEFT(J41,1))&gt;0,_xlfn.NUMBERVALUE(LEFT(J41,1)),""),"")</f>
        <v/>
      </c>
      <c r="HK41" s="91" t="str">
        <f t="shared" ref="HK41" si="1416">IF(OR(E42="B",E42="P"),E42,"")</f>
        <v/>
      </c>
      <c r="HL41" s="91" t="str">
        <f>IF(AND(J41&lt;&gt;"",HK41&lt;&gt;""),IF(HK41="B",MATCH(J41,AcroDD!$U$3:$AE$3,0),MATCH(J41,AcroDD!$U$30:$AC$30,0)),"")</f>
        <v/>
      </c>
      <c r="HM41" s="91" t="str">
        <f t="shared" ref="HM41" si="1417">IF(AND(K41&lt;&gt;"",HK41&lt;&gt;""),K41,"")</f>
        <v/>
      </c>
      <c r="HN41" s="91" t="str">
        <f>_xlfn.LET(_xlpm.lista,IF(HK41="B",INDEX(AcroDD!$T$4:$AE$23,0,HL41+1),INDEX(AcroDD!$T$31:$AC$50,0,HL41+1)),IF(AND(OR(HK41="B",HK41="P"),HL41&lt;&gt;"",HM41&lt;&gt;""),IF(ISNUMBER(MATCH(HM41,_xlpm.lista,0)),"OK","X"),""))</f>
        <v/>
      </c>
    </row>
    <row r="42" spans="1:222" ht="12.75" customHeight="1" x14ac:dyDescent="0.35">
      <c r="A42" s="28"/>
      <c r="B42" s="29"/>
      <c r="C42" s="29"/>
      <c r="D42" s="29"/>
      <c r="E42" s="17" t="str">
        <f t="shared" ref="E42" si="1418">IF(F41="Acrobatic - Pair","PA",IF(F41="Acrobatic Airborn","A",IF(F41="Acrobatic Balance","B",IF(F41="Acrobatic Combined","C",IF(F41="Acrobatic Platform","P",IF(F41="Technical Required Element",3,IF(LEFT(F41,4)="Hybr","H","")))))))</f>
        <v/>
      </c>
      <c r="F42" s="17" t="str">
        <f>IF(AND(F41="Hybrid - Thrust + 2 connections",CR41="X"),"Hybrid - Thrust",IF(OR(E42="A",E42="B",E42="C",E42="P"),"Acrobatic",""))</f>
        <v/>
      </c>
      <c r="G42" s="31"/>
      <c r="H42" s="182" t="str">
        <f t="shared" ref="H42" si="1419">IF(E42="PA",IF(OR(LEFT(J41,1)="L",LEFT(J41,1)="S"),"A-Pair-Lift",IF(OR(LEFT(J41,1)="W",LEFT(J41,1)="T"),"A-Pair-Throw",IF(LEFT(J41,1)="J","A-Pair-Jump","A-Pair"))),IF(OR(E42="A",E42="B",E42="C",E42="P"),CONCATENATE("Acro-",E42),""))</f>
        <v/>
      </c>
      <c r="I42" s="176" t="e">
        <f>IF(OR(F41="Hybrid - Choreography (DD = 1)",LEFT(F41,5)="Trans"),0,INDEX($BY$3:$BY$9,MATCH(E42,$BX$3:$BX$9,0)))</f>
        <v>#N/A</v>
      </c>
      <c r="J42" s="171">
        <f ca="1">IFERROR(IF($H41="No DD",IF(J41="ChoHY",1,0),IF(OR(ISBLANK(J41),J41="N/A"),0,INDEX(INDIRECT(BI42),MATCH(J41,INDIRECT(BI41),0)))),0)</f>
        <v>0</v>
      </c>
      <c r="K42" s="171">
        <f t="shared" ref="K42:Y42" ca="1" si="1420">IFERROR(IF($H41="No DD",0,IF(OR(ISBLANK(K41),K41="N/A"),0,INDEX(INDIRECT(BJ42),MATCH(K41,INDIRECT(BJ41),0)))),0)</f>
        <v>0</v>
      </c>
      <c r="L42" s="171">
        <f t="shared" ca="1" si="1420"/>
        <v>0</v>
      </c>
      <c r="M42" s="171">
        <f t="shared" ca="1" si="1420"/>
        <v>0</v>
      </c>
      <c r="N42" s="171">
        <f t="shared" ca="1" si="1420"/>
        <v>0</v>
      </c>
      <c r="O42" s="171">
        <f t="shared" ca="1" si="1420"/>
        <v>0</v>
      </c>
      <c r="P42" s="171">
        <f t="shared" ca="1" si="1420"/>
        <v>0</v>
      </c>
      <c r="Q42" s="171">
        <f t="shared" ca="1" si="1420"/>
        <v>0</v>
      </c>
      <c r="R42" s="171">
        <f t="shared" ca="1" si="1420"/>
        <v>0</v>
      </c>
      <c r="S42" s="171">
        <f t="shared" ca="1" si="1420"/>
        <v>0</v>
      </c>
      <c r="T42" s="171">
        <f t="shared" ca="1" si="1420"/>
        <v>0</v>
      </c>
      <c r="U42" s="171">
        <f t="shared" ca="1" si="1420"/>
        <v>0</v>
      </c>
      <c r="V42" s="171">
        <f t="shared" ca="1" si="1420"/>
        <v>0</v>
      </c>
      <c r="W42" s="171">
        <f t="shared" ca="1" si="1420"/>
        <v>0</v>
      </c>
      <c r="X42" s="171">
        <f t="shared" ca="1" si="1420"/>
        <v>0</v>
      </c>
      <c r="Y42" s="171">
        <f t="shared" ca="1" si="1420"/>
        <v>0</v>
      </c>
      <c r="Z42" s="171">
        <f t="shared" ref="Z42" ca="1" si="1421">IFERROR(IF($H41="No DD",0,IF(OR(ISBLANK(Z41),Z41="N/A"),0,INDEX(INDIRECT(BY42),MATCH(Z41,INDIRECT(BY41),0)))),0)</f>
        <v>0</v>
      </c>
      <c r="AA42" s="171">
        <f t="shared" ref="AA42" ca="1" si="1422">IFERROR(IF($H41="No DD",0,IF(OR(ISBLANK(AA41),AA41="N/A"),0,INDEX(INDIRECT(BZ42),MATCH(AA41,INDIRECT(BZ41),0)))),0)</f>
        <v>0</v>
      </c>
      <c r="AB42" s="171">
        <f t="shared" ref="AB42" ca="1" si="1423">IFERROR(IF($H41="No DD",0,IF(OR(ISBLANK(AB41),AB41="N/A"),0,INDEX(INDIRECT(CA42),MATCH(AB41,INDIRECT(CA41),0)))),0)</f>
        <v>0</v>
      </c>
      <c r="AC42" s="171">
        <f t="shared" ref="AC42" ca="1" si="1424">IFERROR(IF($H41="No DD",0,IF(OR(ISBLANK(AC41),AC41="N/A"),0,INDEX(INDIRECT(CB42),MATCH(AC41,INDIRECT(CB41),0)))),0)</f>
        <v>0</v>
      </c>
      <c r="AD42" s="171">
        <f t="shared" ref="AD42" ca="1" si="1425">IFERROR(IF($H41="No DD",0,IF(OR(ISBLANK(AD41),AD41="N/A"),0,INDEX(INDIRECT(CC42),MATCH(AD41,INDIRECT(CC41),0)))),0)</f>
        <v>0</v>
      </c>
      <c r="AE42" s="171">
        <f t="shared" ref="AE42" ca="1" si="1426">IFERROR(IF($H41="No DD",0,IF(OR(ISBLANK(AE41),AE41="N/A"),0,INDEX(INDIRECT(CD42),MATCH(AE41,INDIRECT(CD41),0)))),0)</f>
        <v>0</v>
      </c>
      <c r="AF42" s="171">
        <f t="shared" ref="AF42" ca="1" si="1427">IFERROR(IF($H41="No DD",0,IF(OR(ISBLANK(AF41),AF41="N/A"),0,INDEX(INDIRECT(CE42),MATCH(AF41,INDIRECT(CE41),0)))),0)</f>
        <v>0</v>
      </c>
      <c r="AG42" s="171">
        <f t="shared" ref="AG42" ca="1" si="1428">IFERROR(IF($H41="No DD",0,IF(OR(ISBLANK(AG41),AG41="N/A"),0,INDEX(INDIRECT(CF42),MATCH(AG41,INDIRECT(CF41),0)))),0)</f>
        <v>0</v>
      </c>
      <c r="AH42" s="171">
        <f t="shared" ref="AH42" ca="1" si="1429">IFERROR(IF($H41="No DD",0,IF(OR(ISBLANK(AH41),AH41="N/A"),0,INDEX(INDIRECT(CG42),MATCH(AH41,INDIRECT(CG41),0)))),0)</f>
        <v>0</v>
      </c>
      <c r="AI42" s="171">
        <f t="shared" ref="AI42" ca="1" si="1430">IFERROR(IF($H41="No DD",0,IF(OR(ISBLANK(AI41),AI41="N/A"),0,INDEX(INDIRECT(CH42),MATCH(AI41,INDIRECT(CH41),0)))),0)</f>
        <v>0</v>
      </c>
      <c r="AJ42" s="171">
        <f t="shared" ref="AJ42" ca="1" si="1431">IFERROR(IF($H41="No DD",0,IF(OR(ISBLANK(AJ41),AJ41="N/A"),0,INDEX(INDIRECT(CI42),MATCH(AJ41,INDIRECT(CI41),0)))),0)</f>
        <v>0</v>
      </c>
      <c r="AK42" s="171">
        <f t="shared" ref="AK42" ca="1" si="1432">IFERROR(IF($H41="No DD",0,IF(OR(ISBLANK(AK41),AK41="N/A"),0,INDEX(INDIRECT(CJ42),MATCH(AK41,INDIRECT(CJ41),0)))),0)</f>
        <v>0</v>
      </c>
      <c r="AL42" s="171">
        <f t="shared" ref="AL42" ca="1" si="1433">IFERROR(IF($H41="No DD",0,IF(OR(ISBLANK(AL41),AL41="N/A"),0,INDEX(INDIRECT(CK42),MATCH(AL41,INDIRECT(CK41),0)))),0)</f>
        <v>0</v>
      </c>
      <c r="AM42" s="171">
        <f t="shared" ref="AM42" ca="1" si="1434">IFERROR(IF($H41="No DD",0,IF(OR(ISBLANK(AM41),AM41="N/A"),0,INDEX(INDIRECT(CL42),MATCH(AM41,INDIRECT(CL41),0)))),0)</f>
        <v>0</v>
      </c>
      <c r="AN42" s="172" t="str">
        <f>IFERROR(IF(E42="H",INDEX(HybridBonus_Value,MATCH(AN41,HybridBonus_Code,0)),""),"")</f>
        <v/>
      </c>
      <c r="AO42" s="276" t="str">
        <f t="shared" ref="AO42" si="1435">IFERROR(SUM(I42:AN42),"")</f>
        <v/>
      </c>
      <c r="AP42" s="62"/>
      <c r="AQ42" s="62"/>
      <c r="AR42" s="101"/>
      <c r="AS42" s="101"/>
      <c r="AT42" s="101"/>
      <c r="AU42" s="101"/>
      <c r="AV42" s="101"/>
      <c r="BA42" s="90"/>
      <c r="BB42" s="101"/>
      <c r="BC42" s="101"/>
      <c r="BD42" s="101"/>
      <c r="BE42" s="101"/>
      <c r="BF42" s="101"/>
      <c r="BG42" s="90"/>
      <c r="BH42" s="101"/>
      <c r="BI42" s="91" t="str">
        <f t="shared" ref="BI42" si="1436">IF($E42="H",IF($F41="Hybrid - Thrust + 2 connections","Hybrid_Mix_Req_Value","HybridDD_Value"),IF($E42=3,"TreDD_Value",IF($E42="PA","AcroPair_Value",IF(LEFT($F41,4)="Acro",CONCATENATE(BI$16,$E42,"_Value"),""))))</f>
        <v/>
      </c>
      <c r="BJ42" s="91" t="str">
        <f t="shared" ref="BJ42" si="1437">IF($E42="H",IF($F41="Hybrid - Thrust + 2 connections","Hybrid_Mix_Req_Value","HybridDD_Value"),IF($E42=3,"TreDD_Value",IF($E42="PA","AcroPair_Value",IF(LEFT($F41,4)="Acro",CONCATENATE(BJ$16,$E42,"_Value"),""))))</f>
        <v/>
      </c>
      <c r="BK42" s="91" t="str">
        <f t="shared" ref="BK42" si="1438">IF($E42="H",IF($F41="Hybrid - Thrust + 2 connections","Hybrid_Mix_Req_Value","HybridDD_Value"),IF($E42=3,"TreDD_Value",IF($E42="PA","AcroPair_Value",IF(LEFT($F41,4)="Acro",CONCATENATE(BK$16,$E42,"_Value"),""))))</f>
        <v/>
      </c>
      <c r="BL42" s="91" t="str">
        <f t="shared" ref="BL42" si="1439">IF($E42="H",IF($F41="Hybrid - Thrust + 2 connections","Hybrid_Mix_Req_Value","HybridDD_Value"),IF($E42=3,"TreDD_Value",IF($E42="PA","AcroPair_Value",IF(LEFT($F41,4)="Acro",CONCATENATE(BL$16,$E42,"_Value"),""))))</f>
        <v/>
      </c>
      <c r="BM42" s="91" t="str">
        <f t="shared" ref="BM42" si="1440">IF($E42="H",IF($F41="Hybrid - Thrust + 2 connections","Hybrid_Mix_Req_Value","HybridDD_Value"),IF($E42=3,"TreDD_Value",IF($E42="PA","AcroPair_Value",IF(LEFT($F41,4)="Acro",CONCATENATE(BM$16,$E42,"_Value"),""))))</f>
        <v/>
      </c>
      <c r="BN42" s="91" t="str">
        <f t="shared" ref="BN42" si="1441">IF($E42="H",IF($F41="Hybrid - Thrust + 2 connections","Hybrid_Mix_Req_Value","HybridDD_Value"),IF($E42=3,"TreDD_Value",IF($E42="PA","AcroPair_Value",IF(LEFT($F41,4)="Acro",CONCATENATE(BN$16,$E42,"_Value"),""))))</f>
        <v/>
      </c>
      <c r="BO42" s="91" t="str">
        <f t="shared" ref="BO42" si="1442">IF($E42="H",IF($F41="Hybrid - Thrust + 2 connections","Hybrid_Mix_Req_Value","HybridDD_Value"),IF($E42=3,"TreDD_Value",IF($E42="PA","AcroPair_Value",IF(LEFT($F41,4)="Acro",CONCATENATE(BO$16,$E42,"_Value"),""))))</f>
        <v/>
      </c>
      <c r="BP42" s="91" t="str">
        <f t="shared" ref="BP42" si="1443">IF($E42="H",IF($F41="Hybrid - Thrust + 2 connections","Hybrid_Mix_Req_Value","HybridDD_Value"),IF($E42=3,"TreDD_Value",IF($E42="PA","AcroPair_Value",IF(LEFT($F41,4)="Acro",CONCATENATE(BP$16,$E42,"_Value"),""))))</f>
        <v/>
      </c>
      <c r="BQ42" s="91" t="str">
        <f t="shared" ref="BQ42" si="1444">IF($E42="H",IF($F41="Hybrid - Thrust + 2 connections","Hybrid_Mix_Req_Value","HybridDD_Value"),IF($E42=3,"TreDD_Value",IF($E42="PA","AcroPair_Value",IF(LEFT($F41,4)="Acro",CONCATENATE(BQ$16,$E42,"_Value"),""))))</f>
        <v/>
      </c>
      <c r="BR42" s="90" t="str">
        <f t="shared" ref="BR42" si="1445">IF($E42="H",IF($F41="Hybrid - Thrust + 2 connections","Data!$BI$1:$BI$5","HybridDD_Value"),"Data!$BI$1:$BI$5")</f>
        <v>Data!$BI$1:$BI$5</v>
      </c>
      <c r="BS42" s="90" t="str">
        <f t="shared" ref="BS42" si="1446">IF($E42="H",IF($F41="Hybrid - Thrust + 2 connections","Data!$BI$1:$BI$5","HybridDD_Value"),"Data!$BI$1:$BI$5")</f>
        <v>Data!$BI$1:$BI$5</v>
      </c>
      <c r="BT42" s="90" t="str">
        <f t="shared" ref="BT42" si="1447">IF($E42="H",IF($F41="Hybrid - Thrust + 2 connections","Data!$BI$1:$BI$5","HybridDD_Value"),"Data!$BI$1:$BI$5")</f>
        <v>Data!$BI$1:$BI$5</v>
      </c>
      <c r="BU42" s="90" t="str">
        <f t="shared" ref="BU42" si="1448">IF($E42="H",IF($F41="Hybrid - Thrust + 2 connections","Data!$BI$1:$BI$5","HybridDD_Value"),"Data!$BI$1:$BI$5")</f>
        <v>Data!$BI$1:$BI$5</v>
      </c>
      <c r="BV42" s="90" t="str">
        <f t="shared" ref="BV42" si="1449">IF($E42="H",IF($F41="Hybrid - Thrust + 2 connections","Data!$BI$1:$BI$5","HybridDD_Value"),"Data!$BI$1:$BI$5")</f>
        <v>Data!$BI$1:$BI$5</v>
      </c>
      <c r="BW42" s="90" t="str">
        <f t="shared" ref="BW42" si="1450">IF($E42="H",IF($F41="Hybrid - Thrust + 2 connections","Data!$BI$1:$BI$5","HybridDD_Value"),"Data!$BI$1:$BI$5")</f>
        <v>Data!$BI$1:$BI$5</v>
      </c>
      <c r="BX42" s="90" t="str">
        <f t="shared" ref="BX42" si="1451">IF($E42="H",IF($F41="Hybrid - Thrust + 2 connections","Data!$BI$1:$BI$5","HybridDD_Value"),"Data!$BI$1:$BI$5")</f>
        <v>Data!$BI$1:$BI$5</v>
      </c>
      <c r="BY42" s="90" t="str">
        <f t="shared" ref="BY42" si="1452">IF($E42="H",IF($F41="Hybrid - Thrust + 2 connections","Data!$BI$1:$BI$5","HybridDD_Value"),"Data!$BI$1:$BI$5")</f>
        <v>Data!$BI$1:$BI$5</v>
      </c>
      <c r="BZ42" s="90" t="str">
        <f t="shared" ref="BZ42" si="1453">IF($E42="H",IF($F41="Hybrid - Thrust + 2 connections","Data!$BI$1:$BI$5","HybridDD_Value"),"Data!$BI$1:$BI$5")</f>
        <v>Data!$BI$1:$BI$5</v>
      </c>
      <c r="CA42" s="90" t="str">
        <f t="shared" ref="CA42" si="1454">IF($E42="H",IF($F41="Hybrid - Thrust + 2 connections","Data!$BI$1:$BI$5","HybridDD_Value"),"Data!$BI$1:$BI$5")</f>
        <v>Data!$BI$1:$BI$5</v>
      </c>
      <c r="CB42" s="90" t="str">
        <f t="shared" ref="CB42" si="1455">IF($E42="H",IF($F41="Hybrid - Thrust + 2 connections","Data!$BI$1:$BI$5","HybridDD_Value"),"Data!$BI$1:$BI$5")</f>
        <v>Data!$BI$1:$BI$5</v>
      </c>
      <c r="CC42" s="90" t="str">
        <f t="shared" ref="CC42" si="1456">IF($E42="H",IF($F41="Hybrid - Thrust + 2 connections","Data!$BI$1:$BI$5","HybridDD_Value"),"Data!$BI$1:$BI$5")</f>
        <v>Data!$BI$1:$BI$5</v>
      </c>
      <c r="CD42" s="90" t="str">
        <f t="shared" ref="CD42" si="1457">IF($E42="H",IF($F41="Hybrid - Thrust + 2 connections","Data!$BI$1:$BI$5","HybridDD_Value"),"Data!$BI$1:$BI$5")</f>
        <v>Data!$BI$1:$BI$5</v>
      </c>
      <c r="CE42" s="90" t="str">
        <f t="shared" ref="CE42" si="1458">IF($E42="H",IF($F41="Hybrid - Thrust + 2 connections","Data!$BI$1:$BI$5","HybridDD_Value"),"Data!$BI$1:$BI$5")</f>
        <v>Data!$BI$1:$BI$5</v>
      </c>
      <c r="CF42" s="90" t="str">
        <f t="shared" ref="CF42" si="1459">IF($E42="H",IF($F41="Hybrid - Thrust + 2 connections","Data!$BI$1:$BI$5","HybridDD_Value"),"Data!$BI$1:$BI$5")</f>
        <v>Data!$BI$1:$BI$5</v>
      </c>
      <c r="CG42" s="90" t="str">
        <f t="shared" ref="CG42" si="1460">IF($E42="H",IF($F41="Hybrid - Thrust + 2 connections","Data!$BI$1:$BI$5","HybridDD_Value"),"Data!$BI$1:$BI$5")</f>
        <v>Data!$BI$1:$BI$5</v>
      </c>
      <c r="CH42" s="90" t="str">
        <f t="shared" ref="CH42" si="1461">IF($E42="H",IF($F41="Hybrid - Thrust + 2 connections","Data!$BI$1:$BI$5","HybridDD_Value"),"Data!$BI$1:$BI$5")</f>
        <v>Data!$BI$1:$BI$5</v>
      </c>
      <c r="CI42" s="90" t="str">
        <f t="shared" ref="CI42" si="1462">IF($E42="H",IF($F41="Hybrid - Thrust + 2 connections","Data!$BI$1:$BI$5","HybridDD_Value"),"Data!$BI$1:$BI$5")</f>
        <v>Data!$BI$1:$BI$5</v>
      </c>
      <c r="CJ42" s="90" t="str">
        <f t="shared" ref="CJ42" si="1463">IF($E42="H",IF($F41="Hybrid - Thrust + 2 connections","Data!$BI$1:$BI$5","HybridDD_Value"),"Data!$BI$1:$BI$5")</f>
        <v>Data!$BI$1:$BI$5</v>
      </c>
      <c r="CK42" s="90" t="str">
        <f t="shared" ref="CK42" si="1464">IF($E42="H",IF($F41="Hybrid - Thrust + 2 connections","Data!$BI$1:$BI$5","HybridDD_Value"),"Data!$BI$1:$BI$5")</f>
        <v>Data!$BI$1:$BI$5</v>
      </c>
      <c r="CL42" s="90" t="str">
        <f t="shared" ref="CL42" si="1465">IF($E42="H",IF($F41="Hybrid - Thrust + 2 connections","Data!$BI$1:$BI$5","HybridDD_Value"),"Data!$BI$1:$BI$5")</f>
        <v>Data!$BI$1:$BI$5</v>
      </c>
      <c r="CM42" s="101"/>
      <c r="CN42" s="101"/>
      <c r="CO42" s="102" t="str">
        <f>IFERROR(IF(AND($BV$6="T",$BV$8="T",LEFT(F41,4)="Acro",AO42&gt;3),"X",IF($N$7="X",IF(AND(E42="C",AO42&gt;$CN$6),"X",IF(AND(E42="A",AO42&gt;$CN$4),"X",IF(AND(E42="B",AO42&gt;$CN$5),"X",IF(AND(E42="P",AO42&gt;$CN$7),"X","")))),"")),"")</f>
        <v/>
      </c>
      <c r="CP42" s="94"/>
      <c r="CQ42" s="91"/>
      <c r="CS42" s="91"/>
      <c r="CT42" s="91"/>
      <c r="CU42" s="91"/>
      <c r="CV42" s="91"/>
      <c r="CW42" s="91"/>
      <c r="CX42" s="91"/>
      <c r="CY42" s="91"/>
      <c r="CZ42" s="91"/>
      <c r="DD42" s="88" t="str">
        <f t="shared" si="10"/>
        <v/>
      </c>
      <c r="DE42" s="88" t="str">
        <f t="shared" si="11"/>
        <v/>
      </c>
      <c r="DF42" s="88" t="str">
        <f t="shared" si="12"/>
        <v/>
      </c>
      <c r="DG42" s="88" t="str">
        <f t="shared" si="13"/>
        <v/>
      </c>
      <c r="DO42" s="88">
        <v>24</v>
      </c>
      <c r="ED42" s="88" t="str">
        <f t="shared" si="14"/>
        <v/>
      </c>
      <c r="EE42" s="88" t="str">
        <f t="shared" si="15"/>
        <v/>
      </c>
      <c r="EI42" s="88" t="str" cm="1">
        <f t="array" ref="EI42">IFERROR(INDEX(EK42:FN42,MATCH(TRUE,INDEX((EK42:FN42&lt;&gt;""),),0)),"")</f>
        <v/>
      </c>
      <c r="EK42" s="88" t="str">
        <f t="shared" ref="EK42" si="1466">IF(F41="Hybrid - Thrust + 2 connections",IF(COUNTIF($EK41:$FN41,EK41)&gt;1,EK41,""),IF(COUNTIF($EK41:$FN41,EK41)&gt;5,EK41,""))</f>
        <v/>
      </c>
      <c r="EL42" s="88" t="str">
        <f t="shared" ref="EL42" si="1467">IF(G41="Hybrid - Thrust + 2 connections",IF(COUNTIF($EK41:$FN41,EL41)&gt;1,EL41,""),IF(COUNTIF($EK41:$FN41,EL41)&gt;5,EL41,""))</f>
        <v/>
      </c>
      <c r="EM42" s="88" t="str">
        <f t="shared" ref="EM42" si="1468">IF(H41="Hybrid - Thrust + 2 connections",IF(COUNTIF($EK41:$FN41,EM41)&gt;1,EM41,""),IF(COUNTIF($EK41:$FN41,EM41)&gt;5,EM41,""))</f>
        <v/>
      </c>
      <c r="EN42" s="88" t="str">
        <f t="shared" ref="EN42" si="1469">IF(I41="Hybrid - Thrust + 2 connections",IF(COUNTIF($EK41:$FN41,EN41)&gt;1,EN41,""),IF(COUNTIF($EK41:$FN41,EN41)&gt;5,EN41,""))</f>
        <v/>
      </c>
      <c r="EO42" s="88" t="str">
        <f t="shared" ref="EO42" si="1470">IF(J41="Hybrid - Thrust + 2 connections",IF(COUNTIF($EK41:$FN41,EO41)&gt;1,EO41,""),IF(COUNTIF($EK41:$FN41,EO41)&gt;5,EO41,""))</f>
        <v/>
      </c>
      <c r="EP42" s="88" t="str">
        <f t="shared" ref="EP42" si="1471">IF(K41="Hybrid - Thrust + 2 connections",IF(COUNTIF($EK41:$FN41,EP41)&gt;1,EP41,""),IF(COUNTIF($EK41:$FN41,EP41)&gt;5,EP41,""))</f>
        <v/>
      </c>
      <c r="EQ42" s="88" t="str">
        <f t="shared" ref="EQ42" si="1472">IF(L41="Hybrid - Thrust + 2 connections",IF(COUNTIF($EK41:$FN41,EQ41)&gt;1,EQ41,""),IF(COUNTIF($EK41:$FN41,EQ41)&gt;5,EQ41,""))</f>
        <v/>
      </c>
      <c r="ER42" s="88" t="str">
        <f t="shared" ref="ER42" si="1473">IF(M41="Hybrid - Thrust + 2 connections",IF(COUNTIF($EK41:$FN41,ER41)&gt;1,ER41,""),IF(COUNTIF($EK41:$FN41,ER41)&gt;5,ER41,""))</f>
        <v/>
      </c>
      <c r="ES42" s="88" t="str">
        <f t="shared" ref="ES42" si="1474">IF(N41="Hybrid - Thrust + 2 connections",IF(COUNTIF($EK41:$FN41,ES41)&gt;1,ES41,""),IF(COUNTIF($EK41:$FN41,ES41)&gt;5,ES41,""))</f>
        <v/>
      </c>
      <c r="ET42" s="88" t="str">
        <f t="shared" ref="ET42" si="1475">IF(O41="Hybrid - Thrust + 2 connections",IF(COUNTIF($EK41:$FN41,ET41)&gt;1,ET41,""),IF(COUNTIF($EK41:$FN41,ET41)&gt;5,ET41,""))</f>
        <v/>
      </c>
      <c r="EU42" s="88" t="str">
        <f t="shared" ref="EU42" si="1476">IF(P41="Hybrid - Thrust + 2 connections",IF(COUNTIF($EK41:$FN41,EU41)&gt;1,EU41,""),IF(COUNTIF($EK41:$FN41,EU41)&gt;5,EU41,""))</f>
        <v/>
      </c>
      <c r="EV42" s="88" t="str">
        <f t="shared" ref="EV42" si="1477">IF(Q41="Hybrid - Thrust + 2 connections",IF(COUNTIF($EK41:$FN41,EV41)&gt;1,EV41,""),IF(COUNTIF($EK41:$FN41,EV41)&gt;5,EV41,""))</f>
        <v/>
      </c>
      <c r="EW42" s="88" t="str">
        <f t="shared" ref="EW42" si="1478">IF(R41="Hybrid - Thrust + 2 connections",IF(COUNTIF($EK41:$FN41,EW41)&gt;1,EW41,""),IF(COUNTIF($EK41:$FN41,EW41)&gt;5,EW41,""))</f>
        <v/>
      </c>
      <c r="EX42" s="88" t="str">
        <f t="shared" ref="EX42" si="1479">IF(S41="Hybrid - Thrust + 2 connections",IF(COUNTIF($EK41:$FN41,EX41)&gt;1,EX41,""),IF(COUNTIF($EK41:$FN41,EX41)&gt;5,EX41,""))</f>
        <v/>
      </c>
      <c r="EY42" s="88" t="str">
        <f t="shared" ref="EY42" si="1480">IF(T41="Hybrid - Thrust + 2 connections",IF(COUNTIF($EK41:$FN41,EY41)&gt;1,EY41,""),IF(COUNTIF($EK41:$FN41,EY41)&gt;5,EY41,""))</f>
        <v/>
      </c>
      <c r="EZ42" s="88" t="str">
        <f t="shared" ref="EZ42" si="1481">IF(U41="Hybrid - Thrust + 2 connections",IF(COUNTIF($EK41:$FN41,EZ41)&gt;1,EZ41,""),IF(COUNTIF($EK41:$FN41,EZ41)&gt;5,EZ41,""))</f>
        <v/>
      </c>
      <c r="FA42" s="88" t="str">
        <f t="shared" ref="FA42" si="1482">IF(V41="Hybrid - Thrust + 2 connections",IF(COUNTIF($EK41:$FN41,FA41)&gt;1,FA41,""),IF(COUNTIF($EK41:$FN41,FA41)&gt;5,FA41,""))</f>
        <v/>
      </c>
      <c r="FB42" s="88" t="str">
        <f t="shared" ref="FB42" si="1483">IF(W41="Hybrid - Thrust + 2 connections",IF(COUNTIF($EK41:$FN41,FB41)&gt;1,FB41,""),IF(COUNTIF($EK41:$FN41,FB41)&gt;5,FB41,""))</f>
        <v/>
      </c>
      <c r="FC42" s="88" t="str">
        <f t="shared" ref="FC42" si="1484">IF(X41="Hybrid - Thrust + 2 connections",IF(COUNTIF($EK41:$FN41,FC41)&gt;1,FC41,""),IF(COUNTIF($EK41:$FN41,FC41)&gt;5,FC41,""))</f>
        <v/>
      </c>
      <c r="FD42" s="88" t="str">
        <f t="shared" ref="FD42" si="1485">IF(Y41="Hybrid - Thrust + 2 connections",IF(COUNTIF($EK41:$FN41,FD41)&gt;1,FD41,""),IF(COUNTIF($EK41:$FN41,FD41)&gt;5,FD41,""))</f>
        <v/>
      </c>
      <c r="FE42" s="88" t="str">
        <f t="shared" ref="FE42" si="1486">IF(Z41="Hybrid - Thrust + 2 connections",IF(COUNTIF($EK41:$FN41,FE41)&gt;1,FE41,""),IF(COUNTIF($EK41:$FN41,FE41)&gt;5,FE41,""))</f>
        <v/>
      </c>
      <c r="FF42" s="88" t="str">
        <f t="shared" ref="FF42" si="1487">IF(AA41="Hybrid - Thrust + 2 connections",IF(COUNTIF($EK41:$FN41,FF41)&gt;1,FF41,""),IF(COUNTIF($EK41:$FN41,FF41)&gt;5,FF41,""))</f>
        <v/>
      </c>
      <c r="FG42" s="88" t="str">
        <f t="shared" ref="FG42" si="1488">IF(AB41="Hybrid - Thrust + 2 connections",IF(COUNTIF($EK41:$FN41,FG41)&gt;1,FG41,""),IF(COUNTIF($EK41:$FN41,FG41)&gt;5,FG41,""))</f>
        <v/>
      </c>
      <c r="FH42" s="88" t="str">
        <f t="shared" ref="FH42" si="1489">IF(AC41="Hybrid - Thrust + 2 connections",IF(COUNTIF($EK41:$FN41,FH41)&gt;1,FH41,""),IF(COUNTIF($EK41:$FN41,FH41)&gt;5,FH41,""))</f>
        <v/>
      </c>
      <c r="FI42" s="88" t="str">
        <f t="shared" ref="FI42" si="1490">IF(AD41="Hybrid - Thrust + 2 connections",IF(COUNTIF($EK41:$FN41,FI41)&gt;1,FI41,""),IF(COUNTIF($EK41:$FN41,FI41)&gt;5,FI41,""))</f>
        <v/>
      </c>
      <c r="FJ42" s="88" t="str">
        <f t="shared" ref="FJ42" si="1491">IF(AE41="Hybrid - Thrust + 2 connections",IF(COUNTIF($EK41:$FN41,FJ41)&gt;1,FJ41,""),IF(COUNTIF($EK41:$FN41,FJ41)&gt;5,FJ41,""))</f>
        <v/>
      </c>
      <c r="FK42" s="88" t="str">
        <f t="shared" ref="FK42" si="1492">IF(AF41="Hybrid - Thrust + 2 connections",IF(COUNTIF($EK41:$FN41,FK41)&gt;1,FK41,""),IF(COUNTIF($EK41:$FN41,FK41)&gt;5,FK41,""))</f>
        <v/>
      </c>
      <c r="FL42" s="88" t="str">
        <f t="shared" ref="FL42" si="1493">IF(AG41="Hybrid - Thrust + 2 connections",IF(COUNTIF($EK41:$FN41,FL41)&gt;1,FL41,""),IF(COUNTIF($EK41:$FN41,FL41)&gt;5,FL41,""))</f>
        <v/>
      </c>
      <c r="FM42" s="88" t="str">
        <f t="shared" ref="FM42" si="1494">IF(AH41="Hybrid - Thrust + 2 connections",IF(COUNTIF($EK41:$FN41,FM41)&gt;1,FM41,""),IF(COUNTIF($EK41:$FN41,FM41)&gt;5,FM41,""))</f>
        <v/>
      </c>
      <c r="FN42" s="88" t="str">
        <f t="shared" ref="FN42" si="1495">IF(AI41="Hybrid - Thrust + 2 connections",IF(COUNTIF($EK41:$FN41,FN41)&gt;1,FN41,""),IF(COUNTIF($EK41:$FN41,FN41)&gt;5,FN41,""))</f>
        <v/>
      </c>
      <c r="FO42" s="88">
        <f t="shared" ref="FO42" si="1496">FO40+5</f>
        <v>55</v>
      </c>
      <c r="FP42" s="88" t="str" cm="1">
        <f t="array" ref="FP42">IF(FQ42&lt;&gt;"",LEFT(FQ42,FIND("*",FQ42)-1),INDEX($FP$75:$FP$172,FO42+1))</f>
        <v/>
      </c>
      <c r="FQ42" s="88" t="str" cm="1">
        <f t="array" ref="FQ42">INDEX($FQ$75:$FQ$172,FO42+1)</f>
        <v/>
      </c>
      <c r="FR42" s="285"/>
      <c r="FS42" s="285"/>
      <c r="FT42" s="285"/>
      <c r="FU42" s="285"/>
      <c r="FV42" s="285"/>
      <c r="FW42" s="285"/>
      <c r="FX42" s="285"/>
      <c r="FY42" s="285"/>
      <c r="FZ42" s="285"/>
      <c r="GA42" s="285"/>
      <c r="GB42" s="285"/>
      <c r="GC42" s="285"/>
      <c r="GD42" s="285"/>
      <c r="GE42" s="285"/>
      <c r="GF42" s="285"/>
      <c r="GG42" s="285"/>
      <c r="GH42" s="285"/>
      <c r="GI42" s="285"/>
      <c r="GJ42" s="285"/>
      <c r="GK42" s="285"/>
      <c r="GL42" s="285"/>
      <c r="GM42" s="285"/>
      <c r="GN42" s="285"/>
      <c r="GO42" s="285"/>
      <c r="GP42" s="285"/>
      <c r="GQ42" s="285"/>
      <c r="GR42" s="285"/>
      <c r="GS42" s="285"/>
      <c r="GT42" s="285"/>
      <c r="GU42" s="285"/>
      <c r="GV42" s="88"/>
      <c r="GW42" s="88"/>
      <c r="GX42" s="88"/>
      <c r="GY42" s="88"/>
      <c r="GZ42" s="88"/>
      <c r="HA42" s="88"/>
      <c r="HB42" s="88"/>
      <c r="HC42" s="88"/>
      <c r="HD42" s="88" t="str">
        <f>IF($F41="Hybrid - Thrust + 2 connections",COUNTBLANK(J41:L41),"")</f>
        <v/>
      </c>
      <c r="HE42" s="88"/>
      <c r="HF42" s="91"/>
      <c r="HG42" s="91"/>
      <c r="HH42" s="91"/>
      <c r="HI42" s="91"/>
    </row>
    <row r="43" spans="1:222" ht="12.75" customHeight="1" x14ac:dyDescent="0.35">
      <c r="A43" s="28" t="str">
        <f>IF(AND(E41="",A41&lt;&gt;""),IF(CP41=$CP$18,"",IF(C41&lt;&gt;"",IF(D41=59,MINUTE(CP41)+1,MINUTE(CP41)),"")),"")</f>
        <v/>
      </c>
      <c r="B43" s="29" t="str">
        <f>IF(AND(E41="",B41&lt;&gt;""),IF(CP41=$CP$18,"",IF(C41&lt;&gt;"",IF(D41=59,0,SECOND(CP41)+1),"")),"")</f>
        <v/>
      </c>
      <c r="C43" s="39"/>
      <c r="D43" s="39"/>
      <c r="E43" s="9"/>
      <c r="F43" s="40"/>
      <c r="G43" s="31" t="str">
        <f>IF(F43&lt;&gt;"",IF(OR(F43="Transition",F43="Transition - Surface Connection"),0,MAX($G$19:G42)+1),"")</f>
        <v/>
      </c>
      <c r="H43" s="43" t="str">
        <f>IFERROR(IF(E44="3","",IF(OR(F43="Hybrid - Choreography (DD = 1)",LEFT(F43,5)="Trans"),"No DD",CONCATENATE("BM = ",I44))),"")</f>
        <v/>
      </c>
      <c r="I43" s="44"/>
      <c r="J43" s="109"/>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58"/>
      <c r="AO43" s="32"/>
      <c r="AP43" s="61"/>
      <c r="AQ43" s="61"/>
      <c r="AR43" s="90"/>
      <c r="AS43" s="90"/>
      <c r="AT43" s="90"/>
      <c r="AU43" s="90"/>
      <c r="AV43" s="90"/>
      <c r="AW43" s="91" t="str">
        <f t="shared" ref="AW43" si="1497">E44</f>
        <v/>
      </c>
      <c r="AX43" s="94" t="str">
        <f t="shared" ref="AX43" si="1498">IF(AY43=0,"",TIME(0,A43,B43))</f>
        <v/>
      </c>
      <c r="AY43" s="94">
        <f t="shared" ref="AY43" si="1499">TIME(0,C43,D43)</f>
        <v>0</v>
      </c>
      <c r="AZ43" s="94" t="str">
        <f t="shared" ref="AZ43" si="1500">IFERROR(AY43-AX43,"")</f>
        <v/>
      </c>
      <c r="BA43" s="237" t="str">
        <f t="shared" ref="BA43" si="1501">IF($AX$17=0,"",IF(AND($C$10&lt;&gt;"",AW43="H",AZ43&gt;$AX$17),"X",""))</f>
        <v/>
      </c>
      <c r="BB43" s="90"/>
      <c r="BC43" s="90"/>
      <c r="BD43" s="90"/>
      <c r="BE43" s="90"/>
      <c r="BF43" s="90"/>
      <c r="BG43" s="90" t="str">
        <f>IFERROR(IF(F43&lt;&gt;"",INDEX(Parts_Active,MATCH(F43,Parts_Active,0)),""),"No")</f>
        <v/>
      </c>
      <c r="BH43" s="90"/>
      <c r="BI43" s="90" t="str">
        <f>IF($E44="H",IF($F43="Hybrid - Thrust + 2 connections","Hybrid_Mix_Req",IF($F43="Hybrid - Choreography (DD = 1)","Hybrid_ChoHY","HybridDD_Code")),IF($E44=3,"TreDD_Code",IF($E44="PA","AcroPair_Code",IF(LEFT($F43,4)="Acro",CONCATENATE(BI$16,$E44,"_Code"),"Data!$BI$1:$BI$5"))))</f>
        <v>Data!$BI$1:$BI$5</v>
      </c>
      <c r="BJ43" s="90" t="str">
        <f t="shared" ref="BJ43" si="1502">IF($E44="H",IF($F43="Hybrid - Thrust + 2 connections","Hybrid_Mix_Req",IF($F43="Hybrid - min 4 swimmers (no DD)","Data!$BI$1:$BI$5","HybridDD_Code")),IF($E44=3,"TreDD_Code",IF($E44="PA","AcroPair_Code",IF(LEFT($F43,4)="Acro",CONCATENATE(BJ$16,$E44,"_Code"),"Data!$BI$1:$BI$5"))))</f>
        <v>Data!$BI$1:$BI$5</v>
      </c>
      <c r="BK43" s="90" t="str">
        <f t="shared" si="978"/>
        <v>Data!$BI$1:$BI$5</v>
      </c>
      <c r="BL43" s="90" t="str">
        <f t="shared" si="978"/>
        <v>Data!$BI$1:$BI$5</v>
      </c>
      <c r="BM43" s="90" t="str">
        <f t="shared" si="978"/>
        <v>Data!$BI$1:$BI$5</v>
      </c>
      <c r="BN43" s="90" t="str">
        <f t="shared" si="978"/>
        <v>Data!$BI$1:$BI$5</v>
      </c>
      <c r="BO43" s="90" t="str">
        <f t="shared" si="978"/>
        <v>Data!$BI$1:$BI$5</v>
      </c>
      <c r="BP43" s="90" t="str">
        <f t="shared" si="978"/>
        <v>Data!$BI$1:$BI$5</v>
      </c>
      <c r="BQ43" s="90" t="str">
        <f t="shared" si="978"/>
        <v>Data!$BI$1:$BI$5</v>
      </c>
      <c r="BR43" s="90" t="str">
        <f t="shared" ref="BR43" si="1503">IF($E44="H",IF($F43="Hybrid - Thrust + 2 connections","Data!$BI$1:$BI$5","HybridDD_Code"),"Data!$BI$1:$BI$5")</f>
        <v>Data!$BI$1:$BI$5</v>
      </c>
      <c r="BS43" s="90" t="str">
        <f t="shared" si="445"/>
        <v>Data!$BI$1:$BI$5</v>
      </c>
      <c r="BT43" s="90" t="str">
        <f t="shared" si="445"/>
        <v>Data!$BI$1:$BI$5</v>
      </c>
      <c r="BU43" s="90" t="str">
        <f t="shared" si="445"/>
        <v>Data!$BI$1:$BI$5</v>
      </c>
      <c r="BV43" s="90" t="str">
        <f t="shared" si="445"/>
        <v>Data!$BI$1:$BI$5</v>
      </c>
      <c r="BW43" s="90" t="str">
        <f t="shared" si="445"/>
        <v>Data!$BI$1:$BI$5</v>
      </c>
      <c r="BX43" s="90" t="str">
        <f t="shared" si="445"/>
        <v>Data!$BI$1:$BI$5</v>
      </c>
      <c r="BY43" s="90" t="str">
        <f t="shared" si="445"/>
        <v>Data!$BI$1:$BI$5</v>
      </c>
      <c r="BZ43" s="90" t="str">
        <f t="shared" si="445"/>
        <v>Data!$BI$1:$BI$5</v>
      </c>
      <c r="CA43" s="90" t="str">
        <f t="shared" si="445"/>
        <v>Data!$BI$1:$BI$5</v>
      </c>
      <c r="CB43" s="90" t="str">
        <f t="shared" si="445"/>
        <v>Data!$BI$1:$BI$5</v>
      </c>
      <c r="CC43" s="90" t="str">
        <f t="shared" si="445"/>
        <v>Data!$BI$1:$BI$5</v>
      </c>
      <c r="CD43" s="90" t="str">
        <f t="shared" si="445"/>
        <v>Data!$BI$1:$BI$5</v>
      </c>
      <c r="CE43" s="90" t="str">
        <f t="shared" si="445"/>
        <v>Data!$BI$1:$BI$5</v>
      </c>
      <c r="CF43" s="90" t="str">
        <f t="shared" si="445"/>
        <v>Data!$BI$1:$BI$5</v>
      </c>
      <c r="CG43" s="90" t="str">
        <f t="shared" si="445"/>
        <v>Data!$BI$1:$BI$5</v>
      </c>
      <c r="CH43" s="90" t="str">
        <f t="shared" si="445"/>
        <v>Data!$BI$1:$BI$5</v>
      </c>
      <c r="CI43" s="90" t="str">
        <f t="shared" si="980"/>
        <v>Data!$BI$1:$BI$5</v>
      </c>
      <c r="CJ43" s="90" t="str">
        <f t="shared" si="980"/>
        <v>Data!$BI$1:$BI$5</v>
      </c>
      <c r="CK43" s="90" t="str">
        <f t="shared" si="980"/>
        <v>Data!$BI$1:$BI$5</v>
      </c>
      <c r="CL43" s="90" t="str">
        <f t="shared" si="980"/>
        <v>Data!$BI$1:$BI$5</v>
      </c>
      <c r="CM43" s="90"/>
      <c r="CN43" s="90"/>
      <c r="CO43" s="93" t="str">
        <f>IFERROR(TIME(0,A43,B43),"")</f>
        <v/>
      </c>
      <c r="CP43" s="94">
        <f>IFERROR(TIME(0,C43,D43),"")</f>
        <v>0</v>
      </c>
      <c r="CQ43" s="94" t="str">
        <f t="shared" ref="CQ43" si="1504">IF(CP43&gt;$D$12,"X","")</f>
        <v/>
      </c>
      <c r="CR43" s="88" t="str">
        <f>IF(AND(F43="Hybrid - Thrust + 2 connections",OR(LEFT(J43,1)="T",LEFT(K43,1)="T",LEFT(L43,1)="T",LEFT(PB43,1)="T",LEFT(M43,1)="T",LEFT(N43,1)="T",LEFT(O43,1)="T",LEFT(P43,1)="T",LEFT(Q43,1)="T",LEFT(R43,1)="T",LEFT(S43,1)="T",LEFT(T43,1)="T",LEFT(U43,1)="T",LEFT(V43,1)="T",LEFT(W43,1)="T",LEFT(X43,1)="T",LEFT(AK43,1)="T",LEFT(AL43,1)="T",LEFT(AM43,1)="T")),IF(OR(LEN(J43)=2,LEN(K43)=2,LEN(L43)=2,LEN(M43)=2,LEN(N43)=2,LEN(O43)=2,LEN(P43)=2,LEN(Q43)=2,LEN(R43)=2,LEN(S43)=2,LEN(T43)=2,LEN(U43)=2,LEN(V43)=2,LEN(W43)=2,LEN(X43)=2,LEN(Y43)=2,LEN(Z43)=2,LEN(AK43)=2,LEN(AL43)=2,LEN(AM43)=2),"X",""),"")</f>
        <v/>
      </c>
      <c r="CS43" s="91"/>
      <c r="CT43" s="88" t="str">
        <f>IF(LEFT(F43,4)="Acro",IF(AND(N43&lt;&gt;"",M43=RIGHT(N43,2)),"X","OK"),"")</f>
        <v/>
      </c>
      <c r="CU43" s="90" t="str">
        <f t="shared" ref="CU43:DB43" si="1505">IFERROR(IF(AND(LEFT($F43,4)="Acro",INDEX(Requ_App,MATCH(BI43,Requ_Code,0))="No"),"X",""),"")</f>
        <v/>
      </c>
      <c r="CV43" s="90" t="str">
        <f t="shared" si="1505"/>
        <v/>
      </c>
      <c r="CW43" s="90" t="str">
        <f t="shared" si="1505"/>
        <v/>
      </c>
      <c r="CX43" s="90" t="str">
        <f t="shared" si="1505"/>
        <v/>
      </c>
      <c r="CY43" s="90" t="str">
        <f t="shared" si="1505"/>
        <v/>
      </c>
      <c r="CZ43" s="90" t="str">
        <f t="shared" si="1505"/>
        <v/>
      </c>
      <c r="DA43" s="90" t="str">
        <f t="shared" si="1505"/>
        <v/>
      </c>
      <c r="DB43" s="90" t="str">
        <f t="shared" si="1505"/>
        <v/>
      </c>
      <c r="DC43" s="90" t="str">
        <f>IFERROR(IF(AND(LEFT($F43,4)="Acro",INDEX(Requ_App,MATCH(BP43,Requ_Code,0))="No"),"X",""),"")</f>
        <v/>
      </c>
      <c r="DD43" s="88" t="str">
        <f t="shared" si="10"/>
        <v/>
      </c>
      <c r="DE43" s="88" t="str">
        <f t="shared" si="11"/>
        <v/>
      </c>
      <c r="DF43" s="88" t="str">
        <f t="shared" si="12"/>
        <v/>
      </c>
      <c r="DG43" s="88" t="str">
        <f t="shared" si="13"/>
        <v/>
      </c>
      <c r="DK43" s="88">
        <f t="shared" ref="DK43" si="1506">IF(AND(E44="A",OR(Q43="Grip",Q43="Conn",Q43="Catch")),"A1",IF(AND(E44="A",OR(Q43="Hula",Q43="RetSq",Q43="RetPa")),"A2",IF(AND(E44="B",OR(Q43="Twirl",Q43="RotF")),"B1",IF(AND(E44="B",OR(Q43="Moon",Q43="Mov",Q43="Hold")),"B2",IF(AND(E44="P",OR(Q43="Porp",Q43="Splch")),"P1",IF(AND(E44="P",OR(Q43="Diva",Q43="Stand")),"P2",IF(AND(E44="P",OR(Q43="Spider",Q43="Climb")),"P3",IF(AND(E44="P",OR(Q43="Fall",Q43="FTurn")),"P4",IF(AND(E44="C",OR(Q43="Jump",Q43="Jump&gt;",Q43="On1Foot",Q43="1F&gt;1F")),"C1",IF(AND(E44="C",OR(Q43="Run",Q43="BRun")),"C2",1))))))))))</f>
        <v>1</v>
      </c>
      <c r="DL43" s="88">
        <f t="shared" ref="DL43" si="1507">IF(AND(E44="A",OR(R43="Grip",R43="Conn",R43="Catch")),"A1",IF(AND(E44="A",OR(R43="Hula",R43="RetSq",R43="RetPa")),"A2",IF(AND(E44="B",OR(R43="Twirl",R43="RotF")),"B1",IF(AND(E44="B",OR(R43="Moon",R43="Mov",R43="Hold")),"B2",IF(AND(E44="P",OR(R43="Porp",R43="Spich")),"P1",IF(AND(E44="P",OR(R43="Diva",R43="Stand")),"P2",IF(AND(E44="P",OR(R43="Spider",R43="Climb")),"P3",IF(AND(E44="P",OR(R43="Fall",R43="FTurn")),"P4",IF(AND(E44="C",OR(R43="Jump",R43="Jump&gt;",R43="On1Foot",R43="1F&gt;1F")),"C1",IF(AND(E44="C",OR(R43="Run",R43="BRun")),"C2",2))))))))))</f>
        <v>2</v>
      </c>
      <c r="DM43" s="88" t="str">
        <f t="shared" ref="DM43" si="1508">IF(AND(N43="",OR(Q43&lt;&gt;"",R43&lt;&gt;"")),"X",IF(AND(LEFT(F43,4)="Acro",Q43&lt;&gt;"",OR(Q43=R43,DK43=DL43)),IF(R43="C-Roll","","X"),IF(OR(AND(E44="A",Q43="Catch",R43&lt;&gt;"Dbl"),AND(E44="A",R43="Catch",Q43&lt;&gt;"Dbl")),"X","")))</f>
        <v/>
      </c>
      <c r="DN43" s="88" t="str">
        <f>IF(E44="PA",J43,"")</f>
        <v/>
      </c>
      <c r="DO43" s="88">
        <v>25</v>
      </c>
      <c r="DQ43" s="88" t="str">
        <f>IF(AND($E44="A",COUNTIF($DZ$19:$EA$68,DZ43)&gt;1),DZ43,"")</f>
        <v/>
      </c>
      <c r="DR43" s="88" t="str">
        <f>IF(AND($E44="A",COUNTIF($DZ$19:$EA$68,EA43)&gt;1),EA43,"")</f>
        <v/>
      </c>
      <c r="DS43" s="88" t="str">
        <f ca="1">IF(AND($E44="B",COUNTIF($J$19:$J$68,J43)&gt;1),J43,"")</f>
        <v/>
      </c>
      <c r="DT43" s="88" t="str">
        <f ca="1">IF(AND($E44="B",COUNTIF($K$19:$K$68,K43)&gt;1),K43,"")</f>
        <v/>
      </c>
      <c r="DU43" s="88" t="str">
        <f ca="1">IF(AND($E44="C",COUNTIF($J$19:$J$68,J43)&gt;1),J43,"")</f>
        <v/>
      </c>
      <c r="DV43" s="88" t="str">
        <f ca="1">IF(AND($E44="P",COUNTIF($J$19:$J$68,J43)&gt;1),J43,"")</f>
        <v/>
      </c>
      <c r="DW43" s="88" t="str">
        <f ca="1">IF(AND($E44="P",COUNTIF($K$19:$K$68,K43)&gt;1),K43,"")</f>
        <v/>
      </c>
      <c r="DX43" s="88" t="str">
        <f>IF(AND($E44="P",COUNTIF($DZ$19:$EA$68,DZ43)&gt;1),DZ43,"")</f>
        <v/>
      </c>
      <c r="DY43" s="88" t="str">
        <f>IF(AND($E44="P",COUNTIF($DZ$19:$EA$68,EA43)&gt;1),EA43,"")</f>
        <v/>
      </c>
      <c r="DZ43" s="88" t="str">
        <f>IFERROR(IF(OR(E44="A",E44="P"),M43,""),"")</f>
        <v/>
      </c>
      <c r="EA43" s="88" t="str">
        <f>IFERROR(IF(OR(E44="A",E44="P"),RIGHT(N43,2),""),"")</f>
        <v/>
      </c>
      <c r="EB43" s="88" t="str">
        <f t="shared" ref="EB43" si="1509">IF(Q43="","",IF(AND($E44="P",COUNTIF($Q$19:$R$68,Q43)&gt;1),Q43,""))</f>
        <v/>
      </c>
      <c r="EC43" s="88" t="str">
        <f t="shared" ref="EC43" si="1510">IF(R43="","",IF(AND($E44="P",COUNTIF($Q$19:$R$68,R43)&gt;1),R43,""))</f>
        <v/>
      </c>
      <c r="ED43" s="88" t="str">
        <f t="shared" si="14"/>
        <v/>
      </c>
      <c r="EE43" s="88" t="str">
        <f t="shared" si="15"/>
        <v/>
      </c>
      <c r="EF43" s="88" t="str">
        <f t="shared" ref="EF43" si="1511">IF(AND(OR($F$8="Open Team Acrobatic",$F$8="Open Team Technical"),LEFT(F43,4)="Acro"),E44,"")</f>
        <v/>
      </c>
      <c r="EG43" s="88" t="str">
        <f t="shared" ref="EG43" si="1512">IF(EF43="","",IFERROR(IF($F$8="Open Team Acrobatic",IF(HLOOKUP(EF43,$DQ$12:$DT$13,2,FALSE)&gt;2,"X",""),IF(HLOOKUP(EF43,$DQ$12:$DT$13,2,FALSE)&gt;1,"X","")),""))</f>
        <v/>
      </c>
      <c r="EI43" s="88" t="str">
        <f t="shared" ref="EI43" si="1513">IF(OR(AND(F43="Hybrid - Thrust + 2 connections",EI44="T"),AND(E44="H",EI44&lt;&gt;"",EI97="X")),"X","")</f>
        <v/>
      </c>
      <c r="EK43" s="88">
        <f t="shared" ref="EK43" si="1514">IFERROR(IF(AND($E44="H",J43&lt;&gt;"",J43&lt;&gt;"ChoHY"),IF(OR(LEFT(J43,1)="T",LEFT(J43,1)="S",LEFT(J43,1)="A",LEFT(J43,1)="F",LEFT(J43,1)="C"),LEFT(J43,1),"R"),EK$18),"")</f>
        <v>1</v>
      </c>
      <c r="EL43" s="88">
        <f t="shared" ref="EL43" si="1515">IFERROR(IF(AND($E44="H",K43&lt;&gt;""),IF(OR(LEFT(K43,1)="T",LEFT(K43,1)="S",LEFT(K43,1)="A",LEFT(K43,1)="F",LEFT(K43,1)="C"),LEFT(K43,1),"R"),EL$18),"")</f>
        <v>2</v>
      </c>
      <c r="EM43" s="88">
        <f t="shared" ref="EM43" si="1516">IFERROR(IF(AND($E44="H",L43&lt;&gt;""),IF(OR(LEFT(L43,1)="T",LEFT(L43,1)="S",LEFT(L43,1)="A",LEFT(L43,1)="F",LEFT(L43,1)="C"),LEFT(L43,1),"R"),EM$18),"")</f>
        <v>3</v>
      </c>
      <c r="EN43" s="88">
        <f t="shared" ref="EN43" si="1517">IFERROR(IF(AND($E44="H",M43&lt;&gt;""),IF(OR(LEFT(M43,1)="T",LEFT(M43,1)="S",LEFT(M43,1)="A",LEFT(M43,1)="F",LEFT(M43,1)="C"),LEFT(M43,1),"R"),EN$18),"")</f>
        <v>4</v>
      </c>
      <c r="EO43" s="88">
        <f t="shared" ref="EO43" si="1518">IFERROR(IF(AND($E44="H",N43&lt;&gt;""),IF(OR(LEFT(N43,1)="T",LEFT(N43,1)="S",LEFT(N43,1)="A",LEFT(N43,1)="F",LEFT(N43,1)="C"),LEFT(N43,1),"R"),EO$18),"")</f>
        <v>5</v>
      </c>
      <c r="EP43" s="88">
        <f t="shared" ref="EP43" si="1519">IFERROR(IF(AND($E44="H",O43&lt;&gt;""),IF(OR(LEFT(O43,1)="T",LEFT(O43,1)="S",LEFT(O43,1)="A",LEFT(O43,1)="F",LEFT(O43,1)="C"),LEFT(O43,1),"R"),EP$18),"")</f>
        <v>6</v>
      </c>
      <c r="EQ43" s="88">
        <f t="shared" ref="EQ43" si="1520">IFERROR(IF(AND($E44="H",P43&lt;&gt;""),IF(OR(LEFT(P43,1)="T",LEFT(P43,1)="S",LEFT(P43,1)="A",LEFT(P43,1)="F",LEFT(P43,1)="C"),LEFT(P43,1),"R"),EQ$18),"")</f>
        <v>7</v>
      </c>
      <c r="ER43" s="88">
        <f t="shared" ref="ER43" si="1521">IFERROR(IF(AND($E44="H",Q43&lt;&gt;""),IF(OR(LEFT(Q43,1)="T",LEFT(Q43,1)="S",LEFT(Q43,1)="A",LEFT(Q43,1)="F",LEFT(Q43,1)="C"),LEFT(Q43,1),"R"),ER$18),"")</f>
        <v>8</v>
      </c>
      <c r="ES43" s="88">
        <f t="shared" ref="ES43" si="1522">IFERROR(IF(AND($E44="H",R43&lt;&gt;""),IF(OR(LEFT(R43,1)="T",LEFT(R43,1)="S",LEFT(R43,1)="A",LEFT(R43,1)="F",LEFT(R43,1)="C"),LEFT(R43,1),"R"),ES$18),"")</f>
        <v>9</v>
      </c>
      <c r="ET43" s="88">
        <f t="shared" ref="ET43" si="1523">IFERROR(IF(AND($E44="H",S43&lt;&gt;""),IF(OR(LEFT(S43,1)="T",LEFT(S43,1)="S",LEFT(S43,1)="A",LEFT(S43,1)="F",LEFT(S43,1)="C"),LEFT(S43,1),"R"),ET$18),"")</f>
        <v>10</v>
      </c>
      <c r="EU43" s="88">
        <f t="shared" ref="EU43" si="1524">IFERROR(IF(AND($E44="H",T43&lt;&gt;""),IF(OR(LEFT(T43,1)="T",LEFT(T43,1)="S",LEFT(T43,1)="A",LEFT(T43,1)="F",LEFT(T43,1)="C"),LEFT(T43,1),"R"),EU$18),"")</f>
        <v>11</v>
      </c>
      <c r="EV43" s="88">
        <f t="shared" ref="EV43" si="1525">IFERROR(IF(AND($E44="H",U43&lt;&gt;""),IF(OR(LEFT(U43,1)="T",LEFT(U43,1)="S",LEFT(U43,1)="A",LEFT(U43,1)="F",LEFT(U43,1)="C"),LEFT(U43,1),"R"),EV$18),"")</f>
        <v>12</v>
      </c>
      <c r="EW43" s="88">
        <f t="shared" ref="EW43" si="1526">IFERROR(IF(AND($E44="H",V43&lt;&gt;""),IF(OR(LEFT(V43,1)="T",LEFT(V43,1)="S",LEFT(V43,1)="A",LEFT(V43,1)="F",LEFT(V43,1)="C"),LEFT(V43,1),"R"),EW$18),"")</f>
        <v>13</v>
      </c>
      <c r="EX43" s="88">
        <f t="shared" ref="EX43" si="1527">IFERROR(IF(AND($E44="H",W43&lt;&gt;""),IF(OR(LEFT(W43,1)="T",LEFT(W43,1)="S",LEFT(W43,1)="A",LEFT(W43,1)="F",LEFT(W43,1)="C"),LEFT(W43,1),"R"),EX$18),"")</f>
        <v>14</v>
      </c>
      <c r="EY43" s="88">
        <f t="shared" ref="EY43" si="1528">IFERROR(IF(AND($E44="H",X43&lt;&gt;""),IF(OR(LEFT(X43,1)="T",LEFT(X43,1)="S",LEFT(X43,1)="A",LEFT(X43,1)="F",LEFT(X43,1)="C"),LEFT(X43,1),"R"),EY$18),"")</f>
        <v>15</v>
      </c>
      <c r="EZ43" s="88">
        <f t="shared" ref="EZ43" si="1529">IFERROR(IF(AND($E44="H",Y43&lt;&gt;""),IF(OR(LEFT(Y43,1)="T",LEFT(Y43,1)="S",LEFT(Y43,1)="A",LEFT(Y43,1)="F",LEFT(Y43,1)="C"),LEFT(Y43,1),"R"),EZ$18),"")</f>
        <v>16</v>
      </c>
      <c r="FA43" s="88">
        <f t="shared" ref="FA43" si="1530">IFERROR(IF(AND($E44="H",Z43&lt;&gt;""),IF(OR(LEFT(Z43,1)="T",LEFT(Z43,1)="S",LEFT(Z43,1)="A",LEFT(Z43,1)="F",LEFT(Z43,1)="C"),LEFT(Z43,1),"R"),FA$18),"")</f>
        <v>17</v>
      </c>
      <c r="FB43" s="88">
        <f t="shared" ref="FB43" si="1531">IFERROR(IF(AND($E44="H",AA43&lt;&gt;""),IF(OR(LEFT(AA43,1)="T",LEFT(AA43,1)="S",LEFT(AA43,1)="A",LEFT(AA43,1)="F",LEFT(AA43,1)="C"),LEFT(AA43,1),"R"),FB$18),"")</f>
        <v>18</v>
      </c>
      <c r="FC43" s="88">
        <f t="shared" ref="FC43" si="1532">IFERROR(IF(AND($E44="H",AB43&lt;&gt;""),IF(OR(LEFT(AB43,1)="T",LEFT(AB43,1)="S",LEFT(AB43,1)="A",LEFT(AB43,1)="F",LEFT(AB43,1)="C"),LEFT(AB43,1),"R"),FC$18),"")</f>
        <v>19</v>
      </c>
      <c r="FD43" s="88">
        <f t="shared" ref="FD43" si="1533">IFERROR(IF(AND($E44="H",AC43&lt;&gt;""),IF(OR(LEFT(AC43,1)="T",LEFT(AC43,1)="S",LEFT(AC43,1)="A",LEFT(AC43,1)="F",LEFT(AC43,1)="C"),LEFT(AC43,1),"R"),FD$18),"")</f>
        <v>20</v>
      </c>
      <c r="FE43" s="88">
        <f t="shared" ref="FE43" si="1534">IFERROR(IF(AND($E44="H",AD43&lt;&gt;""),IF(OR(LEFT(AD43,1)="T",LEFT(AD43,1)="S",LEFT(AD43,1)="A",LEFT(AD43,1)="F",LEFT(AD43,1)="C"),LEFT(AD43,1),"R"),FE$18),"")</f>
        <v>21</v>
      </c>
      <c r="FF43" s="88">
        <f t="shared" ref="FF43" si="1535">IFERROR(IF(AND($E44="H",AE43&lt;&gt;""),IF(OR(LEFT(AE43,1)="T",LEFT(AE43,1)="S",LEFT(AE43,1)="A",LEFT(AE43,1)="F",LEFT(AE43,1)="C"),LEFT(AE43,1),"R"),FF$18),"")</f>
        <v>22</v>
      </c>
      <c r="FG43" s="88">
        <f t="shared" ref="FG43" si="1536">IFERROR(IF(AND($E44="H",AF43&lt;&gt;""),IF(OR(LEFT(AF43,1)="T",LEFT(AF43,1)="S",LEFT(AF43,1)="A",LEFT(AF43,1)="F",LEFT(AF43,1)="C"),LEFT(AF43,1),"R"),FG$18),"")</f>
        <v>23</v>
      </c>
      <c r="FH43" s="88">
        <f t="shared" ref="FH43" si="1537">IFERROR(IF(AND($E44="H",AG43&lt;&gt;""),IF(OR(LEFT(AG43,1)="T",LEFT(AG43,1)="S",LEFT(AG43,1)="A",LEFT(AG43,1)="F",LEFT(AG43,1)="C"),LEFT(AG43,1),"R"),FH$18),"")</f>
        <v>24</v>
      </c>
      <c r="FI43" s="88">
        <f t="shared" ref="FI43" si="1538">IFERROR(IF(AND($E44="H",AH43&lt;&gt;""),IF(OR(LEFT(AH43,1)="T",LEFT(AH43,1)="S",LEFT(AH43,1)="A",LEFT(AH43,1)="F",LEFT(AH43,1)="C"),LEFT(AH43,1),"R"),FI$18),"")</f>
        <v>25</v>
      </c>
      <c r="FJ43" s="88">
        <f t="shared" ref="FJ43" si="1539">IFERROR(IF(AND($E44="H",AI43&lt;&gt;""),IF(OR(LEFT(AI43,1)="T",LEFT(AI43,1)="S",LEFT(AI43,1)="A",LEFT(AI43,1)="F",LEFT(AI43,1)="C"),LEFT(AI43,1),"R"),FJ$18),"")</f>
        <v>26</v>
      </c>
      <c r="FK43" s="88">
        <f t="shared" ref="FK43" si="1540">IFERROR(IF(AND($E44="H",AJ43&lt;&gt;""),IF(OR(LEFT(AJ43,1)="T",LEFT(AJ43,1)="S",LEFT(AJ43,1)="A",LEFT(AJ43,1)="F",LEFT(AJ43,1)="C"),LEFT(AJ43,1),"R"),FK$18),"")</f>
        <v>27</v>
      </c>
      <c r="FL43" s="88">
        <f t="shared" ref="FL43" si="1541">IFERROR(IF(AND($E44="H",AK43&lt;&gt;""),IF(OR(LEFT(AK43,1)="T",LEFT(AK43,1)="S",LEFT(AK43,1)="A",LEFT(AK43,1)="F",LEFT(AK43,1)="C"),LEFT(AK43,1),"R"),FL$18),"")</f>
        <v>28</v>
      </c>
      <c r="FM43" s="88">
        <f t="shared" ref="FM43" si="1542">IFERROR(IF(AND($E44="H",AL43&lt;&gt;""),IF(OR(LEFT(AL43,1)="T",LEFT(AL43,1)="S",LEFT(AL43,1)="A",LEFT(AL43,1)="F",LEFT(AL43,1)="C"),LEFT(AL43,1),"R"),FM$18),"")</f>
        <v>29</v>
      </c>
      <c r="FN43" s="88">
        <f t="shared" ref="FN43" si="1543">IFERROR(IF(AND($E44="H",AM43&lt;&gt;""),IF(OR(LEFT(AM43,1)="T",LEFT(AM43,1)="S",LEFT(AM43,1)="A",LEFT(AM43,1)="F",LEFT(AM43,1)="C"),LEFT(AM43,1),"R"),FN$18),"")</f>
        <v>30</v>
      </c>
      <c r="FO43" s="88"/>
      <c r="FP43" s="88"/>
      <c r="FQ43" s="88"/>
      <c r="FR43" s="285"/>
      <c r="FS43" s="285"/>
      <c r="FT43" s="285"/>
      <c r="FU43" s="285"/>
      <c r="FV43" s="285"/>
      <c r="FW43" s="285"/>
      <c r="FX43" s="285"/>
      <c r="FY43" s="285"/>
      <c r="FZ43" s="285"/>
      <c r="GA43" s="285"/>
      <c r="GB43" s="285"/>
      <c r="GC43" s="285"/>
      <c r="GD43" s="285"/>
      <c r="GE43" s="285"/>
      <c r="GF43" s="285"/>
      <c r="GG43" s="285"/>
      <c r="GH43" s="285"/>
      <c r="GI43" s="285"/>
      <c r="GJ43" s="285"/>
      <c r="GK43" s="285"/>
      <c r="GL43" s="285"/>
      <c r="GM43" s="285"/>
      <c r="GN43" s="285"/>
      <c r="GO43" s="285"/>
      <c r="GP43" s="285"/>
      <c r="GQ43" s="285"/>
      <c r="GR43" s="285"/>
      <c r="GS43" s="285"/>
      <c r="GT43" s="285"/>
      <c r="GU43" s="285"/>
      <c r="GV43" s="88"/>
      <c r="GW43" s="88">
        <f t="shared" ref="GW43" si="1544">COUNTIF($EK43:$FN43,GW$18)</f>
        <v>0</v>
      </c>
      <c r="GX43" s="88">
        <f t="shared" si="1021"/>
        <v>0</v>
      </c>
      <c r="GY43" s="88">
        <f t="shared" si="1021"/>
        <v>0</v>
      </c>
      <c r="GZ43" s="88">
        <f t="shared" si="1021"/>
        <v>0</v>
      </c>
      <c r="HA43" s="88">
        <f t="shared" si="1021"/>
        <v>0</v>
      </c>
      <c r="HB43" s="88">
        <f t="shared" si="1021"/>
        <v>0</v>
      </c>
      <c r="HC43" s="88"/>
      <c r="HD43" s="88" t="str">
        <f t="shared" ref="HD43" si="1545">IF(AND($F43="Hybrid - Thrust + 2 connections",HD44=0,LEFT($J43,1)="C",LEFT($K43,1)="C",LEFT($L43,1)="C"),"X","")</f>
        <v/>
      </c>
      <c r="HE43" s="88"/>
      <c r="HF43" s="91"/>
      <c r="HG43" s="100"/>
      <c r="HH43" s="100"/>
      <c r="HI43" s="91" t="str">
        <f t="shared" ref="HI43" si="1546">IF(E44=3,IF(_xlfn.NUMBERVALUE(LEFT(J43,1))&gt;0,_xlfn.NUMBERVALUE(LEFT(J43,1)),""),"")</f>
        <v/>
      </c>
      <c r="HK43" s="91" t="str">
        <f t="shared" ref="HK43" si="1547">IF(OR(E44="B",E44="P"),E44,"")</f>
        <v/>
      </c>
      <c r="HL43" s="91" t="str">
        <f>IF(AND(J43&lt;&gt;"",HK43&lt;&gt;""),IF(HK43="B",MATCH(J43,AcroDD!$U$3:$AE$3,0),MATCH(J43,AcroDD!$U$30:$AC$30,0)),"")</f>
        <v/>
      </c>
      <c r="HM43" s="91" t="str">
        <f t="shared" ref="HM43" si="1548">IF(AND(K43&lt;&gt;"",HK43&lt;&gt;""),K43,"")</f>
        <v/>
      </c>
      <c r="HN43" s="91" t="str">
        <f>_xlfn.LET(_xlpm.lista,IF(HK43="B",INDEX(AcroDD!$T$4:$AE$23,0,HL43+1),INDEX(AcroDD!$T$31:$AC$50,0,HL43+1)),IF(AND(OR(HK43="B",HK43="P"),HL43&lt;&gt;"",HM43&lt;&gt;""),IF(ISNUMBER(MATCH(HM43,_xlpm.lista,0)),"OK","X"),""))</f>
        <v/>
      </c>
    </row>
    <row r="44" spans="1:222" ht="12.75" customHeight="1" x14ac:dyDescent="0.35">
      <c r="A44" s="28"/>
      <c r="B44" s="29"/>
      <c r="C44" s="29"/>
      <c r="D44" s="29"/>
      <c r="E44" s="17" t="str">
        <f t="shared" ref="E44" si="1549">IF(F43="Acrobatic - Pair","PA",IF(F43="Acrobatic Airborn","A",IF(F43="Acrobatic Balance","B",IF(F43="Acrobatic Combined","C",IF(F43="Acrobatic Platform","P",IF(F43="Technical Required Element",3,IF(LEFT(F43,4)="Hybr","H","")))))))</f>
        <v/>
      </c>
      <c r="F44" s="17" t="str">
        <f>IF(AND(F43="Hybrid - Thrust + 2 connections",CR43="X"),"Hybrid - Thrust",IF(OR(E44="A",E44="B",E44="C",E44="P"),"Acrobatic",""))</f>
        <v/>
      </c>
      <c r="G44" s="31"/>
      <c r="H44" s="182" t="str">
        <f t="shared" ref="H44" si="1550">IF(E44="PA",IF(OR(LEFT(J43,1)="L",LEFT(J43,1)="S"),"A-Pair-Lift",IF(OR(LEFT(J43,1)="W",LEFT(J43,1)="T"),"A-Pair-Throw",IF(LEFT(J43,1)="J","A-Pair-Jump","A-Pair"))),IF(OR(E44="A",E44="B",E44="C",E44="P"),CONCATENATE("Acro-",E44),""))</f>
        <v/>
      </c>
      <c r="I44" s="176" t="e">
        <f>IF(OR(F43="Hybrid - Choreography (DD = 1)",LEFT(F43,5)="Trans"),0,INDEX($BY$3:$BY$9,MATCH(E44,$BX$3:$BX$9,0)))</f>
        <v>#N/A</v>
      </c>
      <c r="J44" s="171">
        <f ca="1">IFERROR(IF($H43="No DD",IF(J43="ChoHY",1,0),IF(OR(ISBLANK(J43),J43="N/A"),0,INDEX(INDIRECT(BI44),MATCH(J43,INDIRECT(BI43),0)))),0)</f>
        <v>0</v>
      </c>
      <c r="K44" s="171">
        <f t="shared" ref="K44:Y44" ca="1" si="1551">IFERROR(IF($H43="No DD",0,IF(OR(ISBLANK(K43),K43="N/A"),0,INDEX(INDIRECT(BJ44),MATCH(K43,INDIRECT(BJ43),0)))),0)</f>
        <v>0</v>
      </c>
      <c r="L44" s="171">
        <f t="shared" ca="1" si="1551"/>
        <v>0</v>
      </c>
      <c r="M44" s="171">
        <f t="shared" ca="1" si="1551"/>
        <v>0</v>
      </c>
      <c r="N44" s="171">
        <f t="shared" ca="1" si="1551"/>
        <v>0</v>
      </c>
      <c r="O44" s="171">
        <f t="shared" ca="1" si="1551"/>
        <v>0</v>
      </c>
      <c r="P44" s="171">
        <f t="shared" ca="1" si="1551"/>
        <v>0</v>
      </c>
      <c r="Q44" s="171">
        <f t="shared" ca="1" si="1551"/>
        <v>0</v>
      </c>
      <c r="R44" s="171">
        <f t="shared" ca="1" si="1551"/>
        <v>0</v>
      </c>
      <c r="S44" s="171">
        <f t="shared" ca="1" si="1551"/>
        <v>0</v>
      </c>
      <c r="T44" s="171">
        <f t="shared" ca="1" si="1551"/>
        <v>0</v>
      </c>
      <c r="U44" s="171">
        <f t="shared" ca="1" si="1551"/>
        <v>0</v>
      </c>
      <c r="V44" s="171">
        <f t="shared" ca="1" si="1551"/>
        <v>0</v>
      </c>
      <c r="W44" s="171">
        <f t="shared" ca="1" si="1551"/>
        <v>0</v>
      </c>
      <c r="X44" s="171">
        <f t="shared" ca="1" si="1551"/>
        <v>0</v>
      </c>
      <c r="Y44" s="171">
        <f t="shared" ca="1" si="1551"/>
        <v>0</v>
      </c>
      <c r="Z44" s="171">
        <f t="shared" ref="Z44" ca="1" si="1552">IFERROR(IF($H43="No DD",0,IF(OR(ISBLANK(Z43),Z43="N/A"),0,INDEX(INDIRECT(BY44),MATCH(Z43,INDIRECT(BY43),0)))),0)</f>
        <v>0</v>
      </c>
      <c r="AA44" s="171">
        <f t="shared" ref="AA44" ca="1" si="1553">IFERROR(IF($H43="No DD",0,IF(OR(ISBLANK(AA43),AA43="N/A"),0,INDEX(INDIRECT(BZ44),MATCH(AA43,INDIRECT(BZ43),0)))),0)</f>
        <v>0</v>
      </c>
      <c r="AB44" s="171">
        <f t="shared" ref="AB44" ca="1" si="1554">IFERROR(IF($H43="No DD",0,IF(OR(ISBLANK(AB43),AB43="N/A"),0,INDEX(INDIRECT(CA44),MATCH(AB43,INDIRECT(CA43),0)))),0)</f>
        <v>0</v>
      </c>
      <c r="AC44" s="171">
        <f t="shared" ref="AC44" ca="1" si="1555">IFERROR(IF($H43="No DD",0,IF(OR(ISBLANK(AC43),AC43="N/A"),0,INDEX(INDIRECT(CB44),MATCH(AC43,INDIRECT(CB43),0)))),0)</f>
        <v>0</v>
      </c>
      <c r="AD44" s="171">
        <f t="shared" ref="AD44" ca="1" si="1556">IFERROR(IF($H43="No DD",0,IF(OR(ISBLANK(AD43),AD43="N/A"),0,INDEX(INDIRECT(CC44),MATCH(AD43,INDIRECT(CC43),0)))),0)</f>
        <v>0</v>
      </c>
      <c r="AE44" s="171">
        <f t="shared" ref="AE44" ca="1" si="1557">IFERROR(IF($H43="No DD",0,IF(OR(ISBLANK(AE43),AE43="N/A"),0,INDEX(INDIRECT(CD44),MATCH(AE43,INDIRECT(CD43),0)))),0)</f>
        <v>0</v>
      </c>
      <c r="AF44" s="171">
        <f t="shared" ref="AF44" ca="1" si="1558">IFERROR(IF($H43="No DD",0,IF(OR(ISBLANK(AF43),AF43="N/A"),0,INDEX(INDIRECT(CE44),MATCH(AF43,INDIRECT(CE43),0)))),0)</f>
        <v>0</v>
      </c>
      <c r="AG44" s="171">
        <f t="shared" ref="AG44" ca="1" si="1559">IFERROR(IF($H43="No DD",0,IF(OR(ISBLANK(AG43),AG43="N/A"),0,INDEX(INDIRECT(CF44),MATCH(AG43,INDIRECT(CF43),0)))),0)</f>
        <v>0</v>
      </c>
      <c r="AH44" s="171">
        <f t="shared" ref="AH44" ca="1" si="1560">IFERROR(IF($H43="No DD",0,IF(OR(ISBLANK(AH43),AH43="N/A"),0,INDEX(INDIRECT(CG44),MATCH(AH43,INDIRECT(CG43),0)))),0)</f>
        <v>0</v>
      </c>
      <c r="AI44" s="171">
        <f t="shared" ref="AI44" ca="1" si="1561">IFERROR(IF($H43="No DD",0,IF(OR(ISBLANK(AI43),AI43="N/A"),0,INDEX(INDIRECT(CH44),MATCH(AI43,INDIRECT(CH43),0)))),0)</f>
        <v>0</v>
      </c>
      <c r="AJ44" s="171">
        <f t="shared" ref="AJ44" ca="1" si="1562">IFERROR(IF($H43="No DD",0,IF(OR(ISBLANK(AJ43),AJ43="N/A"),0,INDEX(INDIRECT(CI44),MATCH(AJ43,INDIRECT(CI43),0)))),0)</f>
        <v>0</v>
      </c>
      <c r="AK44" s="171">
        <f t="shared" ref="AK44" ca="1" si="1563">IFERROR(IF($H43="No DD",0,IF(OR(ISBLANK(AK43),AK43="N/A"),0,INDEX(INDIRECT(CJ44),MATCH(AK43,INDIRECT(CJ43),0)))),0)</f>
        <v>0</v>
      </c>
      <c r="AL44" s="171">
        <f t="shared" ref="AL44" ca="1" si="1564">IFERROR(IF($H43="No DD",0,IF(OR(ISBLANK(AL43),AL43="N/A"),0,INDEX(INDIRECT(CK44),MATCH(AL43,INDIRECT(CK43),0)))),0)</f>
        <v>0</v>
      </c>
      <c r="AM44" s="171">
        <f t="shared" ref="AM44" ca="1" si="1565">IFERROR(IF($H43="No DD",0,IF(OR(ISBLANK(AM43),AM43="N/A"),0,INDEX(INDIRECT(CL44),MATCH(AM43,INDIRECT(CL43),0)))),0)</f>
        <v>0</v>
      </c>
      <c r="AN44" s="172" t="str">
        <f>IFERROR(IF(E44="H",INDEX(HybridBonus_Value,MATCH(AN43,HybridBonus_Code,0)),""),"")</f>
        <v/>
      </c>
      <c r="AO44" s="276" t="str">
        <f t="shared" ref="AO44" si="1566">IFERROR(SUM(I44:AN44),"")</f>
        <v/>
      </c>
      <c r="AP44" s="62"/>
      <c r="AQ44" s="62"/>
      <c r="AR44" s="101"/>
      <c r="AS44" s="101"/>
      <c r="AT44" s="101"/>
      <c r="AU44" s="101"/>
      <c r="AV44" s="101"/>
      <c r="BA44" s="90"/>
      <c r="BB44" s="101"/>
      <c r="BC44" s="101"/>
      <c r="BD44" s="101"/>
      <c r="BE44" s="101"/>
      <c r="BF44" s="101"/>
      <c r="BG44" s="90"/>
      <c r="BH44" s="101"/>
      <c r="BI44" s="91" t="str">
        <f t="shared" ref="BI44" si="1567">IF($E44="H",IF($F43="Hybrid - Thrust + 2 connections","Hybrid_Mix_Req_Value","HybridDD_Value"),IF($E44=3,"TreDD_Value",IF($E44="PA","AcroPair_Value",IF(LEFT($F43,4)="Acro",CONCATENATE(BI$16,$E44,"_Value"),""))))</f>
        <v/>
      </c>
      <c r="BJ44" s="91" t="str">
        <f t="shared" ref="BJ44" si="1568">IF($E44="H",IF($F43="Hybrid - Thrust + 2 connections","Hybrid_Mix_Req_Value","HybridDD_Value"),IF($E44=3,"TreDD_Value",IF($E44="PA","AcroPair_Value",IF(LEFT($F43,4)="Acro",CONCATENATE(BJ$16,$E44,"_Value"),""))))</f>
        <v/>
      </c>
      <c r="BK44" s="91" t="str">
        <f t="shared" ref="BK44" si="1569">IF($E44="H",IF($F43="Hybrid - Thrust + 2 connections","Hybrid_Mix_Req_Value","HybridDD_Value"),IF($E44=3,"TreDD_Value",IF($E44="PA","AcroPair_Value",IF(LEFT($F43,4)="Acro",CONCATENATE(BK$16,$E44,"_Value"),""))))</f>
        <v/>
      </c>
      <c r="BL44" s="91" t="str">
        <f t="shared" ref="BL44" si="1570">IF($E44="H",IF($F43="Hybrid - Thrust + 2 connections","Hybrid_Mix_Req_Value","HybridDD_Value"),IF($E44=3,"TreDD_Value",IF($E44="PA","AcroPair_Value",IF(LEFT($F43,4)="Acro",CONCATENATE(BL$16,$E44,"_Value"),""))))</f>
        <v/>
      </c>
      <c r="BM44" s="91" t="str">
        <f t="shared" ref="BM44" si="1571">IF($E44="H",IF($F43="Hybrid - Thrust + 2 connections","Hybrid_Mix_Req_Value","HybridDD_Value"),IF($E44=3,"TreDD_Value",IF($E44="PA","AcroPair_Value",IF(LEFT($F43,4)="Acro",CONCATENATE(BM$16,$E44,"_Value"),""))))</f>
        <v/>
      </c>
      <c r="BN44" s="91" t="str">
        <f t="shared" ref="BN44" si="1572">IF($E44="H",IF($F43="Hybrid - Thrust + 2 connections","Hybrid_Mix_Req_Value","HybridDD_Value"),IF($E44=3,"TreDD_Value",IF($E44="PA","AcroPair_Value",IF(LEFT($F43,4)="Acro",CONCATENATE(BN$16,$E44,"_Value"),""))))</f>
        <v/>
      </c>
      <c r="BO44" s="91" t="str">
        <f t="shared" ref="BO44" si="1573">IF($E44="H",IF($F43="Hybrid - Thrust + 2 connections","Hybrid_Mix_Req_Value","HybridDD_Value"),IF($E44=3,"TreDD_Value",IF($E44="PA","AcroPair_Value",IF(LEFT($F43,4)="Acro",CONCATENATE(BO$16,$E44,"_Value"),""))))</f>
        <v/>
      </c>
      <c r="BP44" s="91" t="str">
        <f t="shared" ref="BP44" si="1574">IF($E44="H",IF($F43="Hybrid - Thrust + 2 connections","Hybrid_Mix_Req_Value","HybridDD_Value"),IF($E44=3,"TreDD_Value",IF($E44="PA","AcroPair_Value",IF(LEFT($F43,4)="Acro",CONCATENATE(BP$16,$E44,"_Value"),""))))</f>
        <v/>
      </c>
      <c r="BQ44" s="91" t="str">
        <f t="shared" ref="BQ44" si="1575">IF($E44="H",IF($F43="Hybrid - Thrust + 2 connections","Hybrid_Mix_Req_Value","HybridDD_Value"),IF($E44=3,"TreDD_Value",IF($E44="PA","AcroPair_Value",IF(LEFT($F43,4)="Acro",CONCATENATE(BQ$16,$E44,"_Value"),""))))</f>
        <v/>
      </c>
      <c r="BR44" s="90" t="str">
        <f t="shared" ref="BR44" si="1576">IF($E44="H",IF($F43="Hybrid - Thrust + 2 connections","Data!$BI$1:$BI$5","HybridDD_Value"),"Data!$BI$1:$BI$5")</f>
        <v>Data!$BI$1:$BI$5</v>
      </c>
      <c r="BS44" s="90" t="str">
        <f t="shared" ref="BS44" si="1577">IF($E44="H",IF($F43="Hybrid - Thrust + 2 connections","Data!$BI$1:$BI$5","HybridDD_Value"),"Data!$BI$1:$BI$5")</f>
        <v>Data!$BI$1:$BI$5</v>
      </c>
      <c r="BT44" s="90" t="str">
        <f t="shared" ref="BT44" si="1578">IF($E44="H",IF($F43="Hybrid - Thrust + 2 connections","Data!$BI$1:$BI$5","HybridDD_Value"),"Data!$BI$1:$BI$5")</f>
        <v>Data!$BI$1:$BI$5</v>
      </c>
      <c r="BU44" s="90" t="str">
        <f t="shared" ref="BU44" si="1579">IF($E44="H",IF($F43="Hybrid - Thrust + 2 connections","Data!$BI$1:$BI$5","HybridDD_Value"),"Data!$BI$1:$BI$5")</f>
        <v>Data!$BI$1:$BI$5</v>
      </c>
      <c r="BV44" s="90" t="str">
        <f t="shared" ref="BV44" si="1580">IF($E44="H",IF($F43="Hybrid - Thrust + 2 connections","Data!$BI$1:$BI$5","HybridDD_Value"),"Data!$BI$1:$BI$5")</f>
        <v>Data!$BI$1:$BI$5</v>
      </c>
      <c r="BW44" s="90" t="str">
        <f t="shared" ref="BW44" si="1581">IF($E44="H",IF($F43="Hybrid - Thrust + 2 connections","Data!$BI$1:$BI$5","HybridDD_Value"),"Data!$BI$1:$BI$5")</f>
        <v>Data!$BI$1:$BI$5</v>
      </c>
      <c r="BX44" s="90" t="str">
        <f t="shared" ref="BX44" si="1582">IF($E44="H",IF($F43="Hybrid - Thrust + 2 connections","Data!$BI$1:$BI$5","HybridDD_Value"),"Data!$BI$1:$BI$5")</f>
        <v>Data!$BI$1:$BI$5</v>
      </c>
      <c r="BY44" s="90" t="str">
        <f t="shared" ref="BY44" si="1583">IF($E44="H",IF($F43="Hybrid - Thrust + 2 connections","Data!$BI$1:$BI$5","HybridDD_Value"),"Data!$BI$1:$BI$5")</f>
        <v>Data!$BI$1:$BI$5</v>
      </c>
      <c r="BZ44" s="90" t="str">
        <f t="shared" ref="BZ44" si="1584">IF($E44="H",IF($F43="Hybrid - Thrust + 2 connections","Data!$BI$1:$BI$5","HybridDD_Value"),"Data!$BI$1:$BI$5")</f>
        <v>Data!$BI$1:$BI$5</v>
      </c>
      <c r="CA44" s="90" t="str">
        <f t="shared" ref="CA44" si="1585">IF($E44="H",IF($F43="Hybrid - Thrust + 2 connections","Data!$BI$1:$BI$5","HybridDD_Value"),"Data!$BI$1:$BI$5")</f>
        <v>Data!$BI$1:$BI$5</v>
      </c>
      <c r="CB44" s="90" t="str">
        <f t="shared" ref="CB44" si="1586">IF($E44="H",IF($F43="Hybrid - Thrust + 2 connections","Data!$BI$1:$BI$5","HybridDD_Value"),"Data!$BI$1:$BI$5")</f>
        <v>Data!$BI$1:$BI$5</v>
      </c>
      <c r="CC44" s="90" t="str">
        <f t="shared" ref="CC44" si="1587">IF($E44="H",IF($F43="Hybrid - Thrust + 2 connections","Data!$BI$1:$BI$5","HybridDD_Value"),"Data!$BI$1:$BI$5")</f>
        <v>Data!$BI$1:$BI$5</v>
      </c>
      <c r="CD44" s="90" t="str">
        <f t="shared" ref="CD44" si="1588">IF($E44="H",IF($F43="Hybrid - Thrust + 2 connections","Data!$BI$1:$BI$5","HybridDD_Value"),"Data!$BI$1:$BI$5")</f>
        <v>Data!$BI$1:$BI$5</v>
      </c>
      <c r="CE44" s="90" t="str">
        <f t="shared" ref="CE44" si="1589">IF($E44="H",IF($F43="Hybrid - Thrust + 2 connections","Data!$BI$1:$BI$5","HybridDD_Value"),"Data!$BI$1:$BI$5")</f>
        <v>Data!$BI$1:$BI$5</v>
      </c>
      <c r="CF44" s="90" t="str">
        <f t="shared" ref="CF44" si="1590">IF($E44="H",IF($F43="Hybrid - Thrust + 2 connections","Data!$BI$1:$BI$5","HybridDD_Value"),"Data!$BI$1:$BI$5")</f>
        <v>Data!$BI$1:$BI$5</v>
      </c>
      <c r="CG44" s="90" t="str">
        <f t="shared" ref="CG44" si="1591">IF($E44="H",IF($F43="Hybrid - Thrust + 2 connections","Data!$BI$1:$BI$5","HybridDD_Value"),"Data!$BI$1:$BI$5")</f>
        <v>Data!$BI$1:$BI$5</v>
      </c>
      <c r="CH44" s="90" t="str">
        <f t="shared" ref="CH44" si="1592">IF($E44="H",IF($F43="Hybrid - Thrust + 2 connections","Data!$BI$1:$BI$5","HybridDD_Value"),"Data!$BI$1:$BI$5")</f>
        <v>Data!$BI$1:$BI$5</v>
      </c>
      <c r="CI44" s="90" t="str">
        <f t="shared" ref="CI44" si="1593">IF($E44="H",IF($F43="Hybrid - Thrust + 2 connections","Data!$BI$1:$BI$5","HybridDD_Value"),"Data!$BI$1:$BI$5")</f>
        <v>Data!$BI$1:$BI$5</v>
      </c>
      <c r="CJ44" s="90" t="str">
        <f t="shared" ref="CJ44" si="1594">IF($E44="H",IF($F43="Hybrid - Thrust + 2 connections","Data!$BI$1:$BI$5","HybridDD_Value"),"Data!$BI$1:$BI$5")</f>
        <v>Data!$BI$1:$BI$5</v>
      </c>
      <c r="CK44" s="90" t="str">
        <f t="shared" ref="CK44" si="1595">IF($E44="H",IF($F43="Hybrid - Thrust + 2 connections","Data!$BI$1:$BI$5","HybridDD_Value"),"Data!$BI$1:$BI$5")</f>
        <v>Data!$BI$1:$BI$5</v>
      </c>
      <c r="CL44" s="90" t="str">
        <f t="shared" ref="CL44" si="1596">IF($E44="H",IF($F43="Hybrid - Thrust + 2 connections","Data!$BI$1:$BI$5","HybridDD_Value"),"Data!$BI$1:$BI$5")</f>
        <v>Data!$BI$1:$BI$5</v>
      </c>
      <c r="CM44" s="101"/>
      <c r="CN44" s="101"/>
      <c r="CO44" s="102" t="str">
        <f>IFERROR(IF(AND($BV$6="T",$BV$8="T",LEFT(F43,4)="Acro",AO44&gt;3),"X",IF($N$7="X",IF(AND(E44="C",AO44&gt;$CN$6),"X",IF(AND(E44="A",AO44&gt;$CN$4),"X",IF(AND(E44="B",AO44&gt;$CN$5),"X",IF(AND(E44="P",AO44&gt;$CN$7),"X","")))),"")),"")</f>
        <v/>
      </c>
      <c r="CP44" s="94"/>
      <c r="CQ44" s="91"/>
      <c r="CS44" s="91"/>
      <c r="CT44" s="91"/>
      <c r="CU44" s="91"/>
      <c r="CV44" s="91"/>
      <c r="CW44" s="91"/>
      <c r="CX44" s="91"/>
      <c r="CY44" s="91"/>
      <c r="CZ44" s="91"/>
      <c r="DD44" s="88" t="str">
        <f t="shared" si="10"/>
        <v/>
      </c>
      <c r="DE44" s="88" t="str">
        <f t="shared" si="11"/>
        <v/>
      </c>
      <c r="DF44" s="88" t="str">
        <f t="shared" si="12"/>
        <v/>
      </c>
      <c r="DG44" s="88" t="str">
        <f t="shared" si="13"/>
        <v/>
      </c>
      <c r="DO44" s="88">
        <v>26</v>
      </c>
      <c r="ED44" s="88" t="str">
        <f t="shared" si="14"/>
        <v/>
      </c>
      <c r="EE44" s="88" t="str">
        <f t="shared" si="15"/>
        <v/>
      </c>
      <c r="EI44" s="88" t="str" cm="1">
        <f t="array" ref="EI44">IFERROR(INDEX(EK44:FN44,MATCH(TRUE,INDEX((EK44:FN44&lt;&gt;""),),0)),"")</f>
        <v/>
      </c>
      <c r="EK44" s="88" t="str">
        <f t="shared" ref="EK44" si="1597">IF(F43="Hybrid - Thrust + 2 connections",IF(COUNTIF($EK43:$FN43,EK43)&gt;1,EK43,""),IF(COUNTIF($EK43:$FN43,EK43)&gt;5,EK43,""))</f>
        <v/>
      </c>
      <c r="EL44" s="88" t="str">
        <f t="shared" ref="EL44" si="1598">IF(G43="Hybrid - Thrust + 2 connections",IF(COUNTIF($EK43:$FN43,EL43)&gt;1,EL43,""),IF(COUNTIF($EK43:$FN43,EL43)&gt;5,EL43,""))</f>
        <v/>
      </c>
      <c r="EM44" s="88" t="str">
        <f t="shared" ref="EM44" si="1599">IF(H43="Hybrid - Thrust + 2 connections",IF(COUNTIF($EK43:$FN43,EM43)&gt;1,EM43,""),IF(COUNTIF($EK43:$FN43,EM43)&gt;5,EM43,""))</f>
        <v/>
      </c>
      <c r="EN44" s="88" t="str">
        <f t="shared" ref="EN44" si="1600">IF(I43="Hybrid - Thrust + 2 connections",IF(COUNTIF($EK43:$FN43,EN43)&gt;1,EN43,""),IF(COUNTIF($EK43:$FN43,EN43)&gt;5,EN43,""))</f>
        <v/>
      </c>
      <c r="EO44" s="88" t="str">
        <f t="shared" ref="EO44" si="1601">IF(J43="Hybrid - Thrust + 2 connections",IF(COUNTIF($EK43:$FN43,EO43)&gt;1,EO43,""),IF(COUNTIF($EK43:$FN43,EO43)&gt;5,EO43,""))</f>
        <v/>
      </c>
      <c r="EP44" s="88" t="str">
        <f t="shared" ref="EP44" si="1602">IF(K43="Hybrid - Thrust + 2 connections",IF(COUNTIF($EK43:$FN43,EP43)&gt;1,EP43,""),IF(COUNTIF($EK43:$FN43,EP43)&gt;5,EP43,""))</f>
        <v/>
      </c>
      <c r="EQ44" s="88" t="str">
        <f t="shared" ref="EQ44" si="1603">IF(L43="Hybrid - Thrust + 2 connections",IF(COUNTIF($EK43:$FN43,EQ43)&gt;1,EQ43,""),IF(COUNTIF($EK43:$FN43,EQ43)&gt;5,EQ43,""))</f>
        <v/>
      </c>
      <c r="ER44" s="88" t="str">
        <f t="shared" ref="ER44" si="1604">IF(M43="Hybrid - Thrust + 2 connections",IF(COUNTIF($EK43:$FN43,ER43)&gt;1,ER43,""),IF(COUNTIF($EK43:$FN43,ER43)&gt;5,ER43,""))</f>
        <v/>
      </c>
      <c r="ES44" s="88" t="str">
        <f t="shared" ref="ES44" si="1605">IF(N43="Hybrid - Thrust + 2 connections",IF(COUNTIF($EK43:$FN43,ES43)&gt;1,ES43,""),IF(COUNTIF($EK43:$FN43,ES43)&gt;5,ES43,""))</f>
        <v/>
      </c>
      <c r="ET44" s="88" t="str">
        <f t="shared" ref="ET44" si="1606">IF(O43="Hybrid - Thrust + 2 connections",IF(COUNTIF($EK43:$FN43,ET43)&gt;1,ET43,""),IF(COUNTIF($EK43:$FN43,ET43)&gt;5,ET43,""))</f>
        <v/>
      </c>
      <c r="EU44" s="88" t="str">
        <f t="shared" ref="EU44" si="1607">IF(P43="Hybrid - Thrust + 2 connections",IF(COUNTIF($EK43:$FN43,EU43)&gt;1,EU43,""),IF(COUNTIF($EK43:$FN43,EU43)&gt;5,EU43,""))</f>
        <v/>
      </c>
      <c r="EV44" s="88" t="str">
        <f t="shared" ref="EV44" si="1608">IF(Q43="Hybrid - Thrust + 2 connections",IF(COUNTIF($EK43:$FN43,EV43)&gt;1,EV43,""),IF(COUNTIF($EK43:$FN43,EV43)&gt;5,EV43,""))</f>
        <v/>
      </c>
      <c r="EW44" s="88" t="str">
        <f t="shared" ref="EW44" si="1609">IF(R43="Hybrid - Thrust + 2 connections",IF(COUNTIF($EK43:$FN43,EW43)&gt;1,EW43,""),IF(COUNTIF($EK43:$FN43,EW43)&gt;5,EW43,""))</f>
        <v/>
      </c>
      <c r="EX44" s="88" t="str">
        <f t="shared" ref="EX44" si="1610">IF(S43="Hybrid - Thrust + 2 connections",IF(COUNTIF($EK43:$FN43,EX43)&gt;1,EX43,""),IF(COUNTIF($EK43:$FN43,EX43)&gt;5,EX43,""))</f>
        <v/>
      </c>
      <c r="EY44" s="88" t="str">
        <f t="shared" ref="EY44" si="1611">IF(T43="Hybrid - Thrust + 2 connections",IF(COUNTIF($EK43:$FN43,EY43)&gt;1,EY43,""),IF(COUNTIF($EK43:$FN43,EY43)&gt;5,EY43,""))</f>
        <v/>
      </c>
      <c r="EZ44" s="88" t="str">
        <f t="shared" ref="EZ44" si="1612">IF(U43="Hybrid - Thrust + 2 connections",IF(COUNTIF($EK43:$FN43,EZ43)&gt;1,EZ43,""),IF(COUNTIF($EK43:$FN43,EZ43)&gt;5,EZ43,""))</f>
        <v/>
      </c>
      <c r="FA44" s="88" t="str">
        <f t="shared" ref="FA44" si="1613">IF(V43="Hybrid - Thrust + 2 connections",IF(COUNTIF($EK43:$FN43,FA43)&gt;1,FA43,""),IF(COUNTIF($EK43:$FN43,FA43)&gt;5,FA43,""))</f>
        <v/>
      </c>
      <c r="FB44" s="88" t="str">
        <f t="shared" ref="FB44" si="1614">IF(W43="Hybrid - Thrust + 2 connections",IF(COUNTIF($EK43:$FN43,FB43)&gt;1,FB43,""),IF(COUNTIF($EK43:$FN43,FB43)&gt;5,FB43,""))</f>
        <v/>
      </c>
      <c r="FC44" s="88" t="str">
        <f t="shared" ref="FC44" si="1615">IF(X43="Hybrid - Thrust + 2 connections",IF(COUNTIF($EK43:$FN43,FC43)&gt;1,FC43,""),IF(COUNTIF($EK43:$FN43,FC43)&gt;5,FC43,""))</f>
        <v/>
      </c>
      <c r="FD44" s="88" t="str">
        <f t="shared" ref="FD44" si="1616">IF(Y43="Hybrid - Thrust + 2 connections",IF(COUNTIF($EK43:$FN43,FD43)&gt;1,FD43,""),IF(COUNTIF($EK43:$FN43,FD43)&gt;5,FD43,""))</f>
        <v/>
      </c>
      <c r="FE44" s="88" t="str">
        <f t="shared" ref="FE44" si="1617">IF(Z43="Hybrid - Thrust + 2 connections",IF(COUNTIF($EK43:$FN43,FE43)&gt;1,FE43,""),IF(COUNTIF($EK43:$FN43,FE43)&gt;5,FE43,""))</f>
        <v/>
      </c>
      <c r="FF44" s="88" t="str">
        <f t="shared" ref="FF44" si="1618">IF(AA43="Hybrid - Thrust + 2 connections",IF(COUNTIF($EK43:$FN43,FF43)&gt;1,FF43,""),IF(COUNTIF($EK43:$FN43,FF43)&gt;5,FF43,""))</f>
        <v/>
      </c>
      <c r="FG44" s="88" t="str">
        <f t="shared" ref="FG44" si="1619">IF(AB43="Hybrid - Thrust + 2 connections",IF(COUNTIF($EK43:$FN43,FG43)&gt;1,FG43,""),IF(COUNTIF($EK43:$FN43,FG43)&gt;5,FG43,""))</f>
        <v/>
      </c>
      <c r="FH44" s="88" t="str">
        <f t="shared" ref="FH44" si="1620">IF(AC43="Hybrid - Thrust + 2 connections",IF(COUNTIF($EK43:$FN43,FH43)&gt;1,FH43,""),IF(COUNTIF($EK43:$FN43,FH43)&gt;5,FH43,""))</f>
        <v/>
      </c>
      <c r="FI44" s="88" t="str">
        <f t="shared" ref="FI44" si="1621">IF(AD43="Hybrid - Thrust + 2 connections",IF(COUNTIF($EK43:$FN43,FI43)&gt;1,FI43,""),IF(COUNTIF($EK43:$FN43,FI43)&gt;5,FI43,""))</f>
        <v/>
      </c>
      <c r="FJ44" s="88" t="str">
        <f t="shared" ref="FJ44" si="1622">IF(AE43="Hybrid - Thrust + 2 connections",IF(COUNTIF($EK43:$FN43,FJ43)&gt;1,FJ43,""),IF(COUNTIF($EK43:$FN43,FJ43)&gt;5,FJ43,""))</f>
        <v/>
      </c>
      <c r="FK44" s="88" t="str">
        <f t="shared" ref="FK44" si="1623">IF(AF43="Hybrid - Thrust + 2 connections",IF(COUNTIF($EK43:$FN43,FK43)&gt;1,FK43,""),IF(COUNTIF($EK43:$FN43,FK43)&gt;5,FK43,""))</f>
        <v/>
      </c>
      <c r="FL44" s="88" t="str">
        <f t="shared" ref="FL44" si="1624">IF(AG43="Hybrid - Thrust + 2 connections",IF(COUNTIF($EK43:$FN43,FL43)&gt;1,FL43,""),IF(COUNTIF($EK43:$FN43,FL43)&gt;5,FL43,""))</f>
        <v/>
      </c>
      <c r="FM44" s="88" t="str">
        <f t="shared" ref="FM44" si="1625">IF(AH43="Hybrid - Thrust + 2 connections",IF(COUNTIF($EK43:$FN43,FM43)&gt;1,FM43,""),IF(COUNTIF($EK43:$FN43,FM43)&gt;5,FM43,""))</f>
        <v/>
      </c>
      <c r="FN44" s="88" t="str">
        <f t="shared" ref="FN44" si="1626">IF(AI43="Hybrid - Thrust + 2 connections",IF(COUNTIF($EK43:$FN43,FN43)&gt;1,FN43,""),IF(COUNTIF($EK43:$FN43,FN43)&gt;5,FN43,""))</f>
        <v/>
      </c>
      <c r="FO44" s="88">
        <f t="shared" ref="FO44" si="1627">FO42+5</f>
        <v>60</v>
      </c>
      <c r="FP44" s="88" t="str" cm="1">
        <f t="array" ref="FP44">IF(FQ44&lt;&gt;"",LEFT(FQ44,FIND("*",FQ44)-1),INDEX($FP$75:$FP$172,FO44+1))</f>
        <v/>
      </c>
      <c r="FQ44" s="88" t="str" cm="1">
        <f t="array" ref="FQ44">INDEX($FQ$75:$FQ$172,FO44+1)</f>
        <v/>
      </c>
      <c r="FR44" s="285"/>
      <c r="FS44" s="285"/>
      <c r="FT44" s="285"/>
      <c r="FU44" s="285"/>
      <c r="FV44" s="285"/>
      <c r="FW44" s="285"/>
      <c r="FX44" s="285"/>
      <c r="FY44" s="285"/>
      <c r="FZ44" s="285"/>
      <c r="GA44" s="285"/>
      <c r="GB44" s="285"/>
      <c r="GC44" s="285"/>
      <c r="GD44" s="285"/>
      <c r="GE44" s="285"/>
      <c r="GF44" s="285"/>
      <c r="GG44" s="285"/>
      <c r="GH44" s="285"/>
      <c r="GI44" s="285"/>
      <c r="GJ44" s="285"/>
      <c r="GK44" s="285"/>
      <c r="GL44" s="285"/>
      <c r="GM44" s="285"/>
      <c r="GN44" s="285"/>
      <c r="GO44" s="285"/>
      <c r="GP44" s="285"/>
      <c r="GQ44" s="285"/>
      <c r="GR44" s="285"/>
      <c r="GS44" s="285"/>
      <c r="GT44" s="285"/>
      <c r="GU44" s="285"/>
      <c r="GV44" s="88"/>
      <c r="GW44" s="88"/>
      <c r="GX44" s="88"/>
      <c r="GY44" s="88"/>
      <c r="GZ44" s="88"/>
      <c r="HA44" s="88"/>
      <c r="HB44" s="88"/>
      <c r="HC44" s="88"/>
      <c r="HD44" s="88" t="str">
        <f>IF($F43="Hybrid - Thrust + 2 connections",COUNTBLANK(J43:L43),"")</f>
        <v/>
      </c>
      <c r="HE44" s="88"/>
      <c r="HF44" s="91"/>
      <c r="HG44" s="91"/>
      <c r="HH44" s="91"/>
      <c r="HI44" s="91"/>
    </row>
    <row r="45" spans="1:222" ht="12.75" customHeight="1" x14ac:dyDescent="0.35">
      <c r="A45" s="28" t="str">
        <f>IF(AND(E43="",A43&lt;&gt;""),IF(CP43=$CP$18,"",IF(C43&lt;&gt;"",IF(D43=59,MINUTE(CP43)+1,MINUTE(CP43)),"")),"")</f>
        <v/>
      </c>
      <c r="B45" s="29" t="str">
        <f>IF(AND(E43="",B43&lt;&gt;""),IF(CP43=$CP$18,"",IF(C43&lt;&gt;"",IF(D43=59,0,SECOND(CP43)+1),"")),"")</f>
        <v/>
      </c>
      <c r="C45" s="39"/>
      <c r="D45" s="39"/>
      <c r="E45" s="9"/>
      <c r="F45" s="40"/>
      <c r="G45" s="31" t="str">
        <f>IF(F45&lt;&gt;"",IF(OR(F45="Transition",F45="Transition - Surface Connection"),0,MAX($G$19:G44)+1),"")</f>
        <v/>
      </c>
      <c r="H45" s="43" t="str">
        <f>IFERROR(IF(E46="3","",IF(OR(F45="Hybrid - Choreography (DD = 1)",LEFT(F45,5)="Trans"),"No DD",CONCATENATE("BM = ",I46))),"")</f>
        <v/>
      </c>
      <c r="I45" s="44"/>
      <c r="J45" s="109"/>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58"/>
      <c r="AO45" s="32"/>
      <c r="AP45" s="61"/>
      <c r="AQ45" s="61"/>
      <c r="AR45" s="90"/>
      <c r="AS45" s="90"/>
      <c r="AT45" s="90"/>
      <c r="AU45" s="90"/>
      <c r="AV45" s="90"/>
      <c r="AW45" s="91" t="str">
        <f t="shared" ref="AW45" si="1628">E46</f>
        <v/>
      </c>
      <c r="AX45" s="94" t="str">
        <f t="shared" ref="AX45" si="1629">IF(AY45=0,"",TIME(0,A45,B45))</f>
        <v/>
      </c>
      <c r="AY45" s="94">
        <f t="shared" ref="AY45" si="1630">TIME(0,C45,D45)</f>
        <v>0</v>
      </c>
      <c r="AZ45" s="94" t="str">
        <f t="shared" ref="AZ45" si="1631">IFERROR(AY45-AX45,"")</f>
        <v/>
      </c>
      <c r="BA45" s="237" t="str">
        <f t="shared" ref="BA45" si="1632">IF($AX$17=0,"",IF(AND($C$10&lt;&gt;"",AW45="H",AZ45&gt;$AX$17),"X",""))</f>
        <v/>
      </c>
      <c r="BB45" s="90"/>
      <c r="BC45" s="90"/>
      <c r="BD45" s="90"/>
      <c r="BE45" s="90"/>
      <c r="BF45" s="90"/>
      <c r="BG45" s="90" t="str">
        <f>IFERROR(IF(F45&lt;&gt;"",INDEX(Parts_Active,MATCH(F45,Parts_Active,0)),""),"No")</f>
        <v/>
      </c>
      <c r="BH45" s="90"/>
      <c r="BI45" s="90" t="str">
        <f>IF($E46="H",IF($F45="Hybrid - Thrust + 2 connections","Hybrid_Mix_Req",IF($F45="Hybrid - Choreography (DD = 1)","Hybrid_ChoHY","HybridDD_Code")),IF($E46=3,"TreDD_Code",IF($E46="PA","AcroPair_Code",IF(LEFT($F45,4)="Acro",CONCATENATE(BI$16,$E46,"_Code"),"Data!$BI$1:$BI$5"))))</f>
        <v>Data!$BI$1:$BI$5</v>
      </c>
      <c r="BJ45" s="90" t="str">
        <f t="shared" ref="BJ45" si="1633">IF($E46="H",IF($F45="Hybrid - Thrust + 2 connections","Hybrid_Mix_Req",IF($F45="Hybrid - min 4 swimmers (no DD)","Data!$BI$1:$BI$5","HybridDD_Code")),IF($E46=3,"TreDD_Code",IF($E46="PA","AcroPair_Code",IF(LEFT($F45,4)="Acro",CONCATENATE(BJ$16,$E46,"_Code"),"Data!$BI$1:$BI$5"))))</f>
        <v>Data!$BI$1:$BI$5</v>
      </c>
      <c r="BK45" s="90" t="str">
        <f t="shared" si="978"/>
        <v>Data!$BI$1:$BI$5</v>
      </c>
      <c r="BL45" s="90" t="str">
        <f t="shared" si="978"/>
        <v>Data!$BI$1:$BI$5</v>
      </c>
      <c r="BM45" s="90" t="str">
        <f t="shared" si="978"/>
        <v>Data!$BI$1:$BI$5</v>
      </c>
      <c r="BN45" s="90" t="str">
        <f t="shared" si="978"/>
        <v>Data!$BI$1:$BI$5</v>
      </c>
      <c r="BO45" s="90" t="str">
        <f t="shared" si="978"/>
        <v>Data!$BI$1:$BI$5</v>
      </c>
      <c r="BP45" s="90" t="str">
        <f t="shared" si="978"/>
        <v>Data!$BI$1:$BI$5</v>
      </c>
      <c r="BQ45" s="90" t="str">
        <f t="shared" si="978"/>
        <v>Data!$BI$1:$BI$5</v>
      </c>
      <c r="BR45" s="90" t="str">
        <f t="shared" ref="BR45" si="1634">IF($E46="H",IF($F45="Hybrid - Thrust + 2 connections","Data!$BI$1:$BI$5","HybridDD_Code"),"Data!$BI$1:$BI$5")</f>
        <v>Data!$BI$1:$BI$5</v>
      </c>
      <c r="BS45" s="90" t="str">
        <f t="shared" si="445"/>
        <v>Data!$BI$1:$BI$5</v>
      </c>
      <c r="BT45" s="90" t="str">
        <f t="shared" si="445"/>
        <v>Data!$BI$1:$BI$5</v>
      </c>
      <c r="BU45" s="90" t="str">
        <f t="shared" si="445"/>
        <v>Data!$BI$1:$BI$5</v>
      </c>
      <c r="BV45" s="90" t="str">
        <f t="shared" si="445"/>
        <v>Data!$BI$1:$BI$5</v>
      </c>
      <c r="BW45" s="90" t="str">
        <f t="shared" si="445"/>
        <v>Data!$BI$1:$BI$5</v>
      </c>
      <c r="BX45" s="90" t="str">
        <f t="shared" si="445"/>
        <v>Data!$BI$1:$BI$5</v>
      </c>
      <c r="BY45" s="90" t="str">
        <f t="shared" si="445"/>
        <v>Data!$BI$1:$BI$5</v>
      </c>
      <c r="BZ45" s="90" t="str">
        <f t="shared" si="445"/>
        <v>Data!$BI$1:$BI$5</v>
      </c>
      <c r="CA45" s="90" t="str">
        <f t="shared" si="445"/>
        <v>Data!$BI$1:$BI$5</v>
      </c>
      <c r="CB45" s="90" t="str">
        <f t="shared" si="445"/>
        <v>Data!$BI$1:$BI$5</v>
      </c>
      <c r="CC45" s="90" t="str">
        <f t="shared" si="445"/>
        <v>Data!$BI$1:$BI$5</v>
      </c>
      <c r="CD45" s="90" t="str">
        <f t="shared" si="445"/>
        <v>Data!$BI$1:$BI$5</v>
      </c>
      <c r="CE45" s="90" t="str">
        <f t="shared" si="445"/>
        <v>Data!$BI$1:$BI$5</v>
      </c>
      <c r="CF45" s="90" t="str">
        <f t="shared" si="445"/>
        <v>Data!$BI$1:$BI$5</v>
      </c>
      <c r="CG45" s="90" t="str">
        <f t="shared" si="445"/>
        <v>Data!$BI$1:$BI$5</v>
      </c>
      <c r="CH45" s="90" t="str">
        <f t="shared" si="445"/>
        <v>Data!$BI$1:$BI$5</v>
      </c>
      <c r="CI45" s="90" t="str">
        <f t="shared" si="980"/>
        <v>Data!$BI$1:$BI$5</v>
      </c>
      <c r="CJ45" s="90" t="str">
        <f t="shared" si="980"/>
        <v>Data!$BI$1:$BI$5</v>
      </c>
      <c r="CK45" s="90" t="str">
        <f t="shared" si="980"/>
        <v>Data!$BI$1:$BI$5</v>
      </c>
      <c r="CL45" s="90" t="str">
        <f t="shared" si="980"/>
        <v>Data!$BI$1:$BI$5</v>
      </c>
      <c r="CM45" s="90"/>
      <c r="CN45" s="90"/>
      <c r="CO45" s="93" t="str">
        <f>IFERROR(TIME(0,A45,B45),"")</f>
        <v/>
      </c>
      <c r="CP45" s="94">
        <f>IFERROR(TIME(0,C45,D45),"")</f>
        <v>0</v>
      </c>
      <c r="CQ45" s="94" t="str">
        <f t="shared" ref="CQ45" si="1635">IF(CP45&gt;$D$12,"X","")</f>
        <v/>
      </c>
      <c r="CR45" s="88" t="str">
        <f>IF(AND(F45="Hybrid - Thrust + 2 connections",OR(LEFT(J45,1)="T",LEFT(K45,1)="T",LEFT(L45,1)="T",LEFT(PB45,1)="T",LEFT(M45,1)="T",LEFT(N45,1)="T",LEFT(O45,1)="T",LEFT(P45,1)="T",LEFT(Q45,1)="T",LEFT(R45,1)="T",LEFT(S45,1)="T",LEFT(T45,1)="T",LEFT(U45,1)="T",LEFT(V45,1)="T",LEFT(W45,1)="T",LEFT(X45,1)="T",LEFT(AK45,1)="T",LEFT(AL45,1)="T",LEFT(AM45,1)="T")),IF(OR(LEN(J45)=2,LEN(K45)=2,LEN(L45)=2,LEN(M45)=2,LEN(N45)=2,LEN(O45)=2,LEN(P45)=2,LEN(Q45)=2,LEN(R45)=2,LEN(S45)=2,LEN(T45)=2,LEN(U45)=2,LEN(V45)=2,LEN(W45)=2,LEN(X45)=2,LEN(Y45)=2,LEN(Z45)=2,LEN(AK45)=2,LEN(AL45)=2,LEN(AM45)=2),"X",""),"")</f>
        <v/>
      </c>
      <c r="CS45" s="91"/>
      <c r="CT45" s="88" t="str">
        <f>IF(LEFT(F45,4)="Acro",IF(AND(N45&lt;&gt;"",M45=RIGHT(N45,2)),"X","OK"),"")</f>
        <v/>
      </c>
      <c r="CU45" s="90" t="str">
        <f t="shared" ref="CU45:DB45" si="1636">IFERROR(IF(AND(LEFT($F45,4)="Acro",INDEX(Requ_App,MATCH(BI45,Requ_Code,0))="No"),"X",""),"")</f>
        <v/>
      </c>
      <c r="CV45" s="90" t="str">
        <f t="shared" si="1636"/>
        <v/>
      </c>
      <c r="CW45" s="90" t="str">
        <f t="shared" si="1636"/>
        <v/>
      </c>
      <c r="CX45" s="90" t="str">
        <f t="shared" si="1636"/>
        <v/>
      </c>
      <c r="CY45" s="90" t="str">
        <f t="shared" si="1636"/>
        <v/>
      </c>
      <c r="CZ45" s="90" t="str">
        <f t="shared" si="1636"/>
        <v/>
      </c>
      <c r="DA45" s="90" t="str">
        <f t="shared" si="1636"/>
        <v/>
      </c>
      <c r="DB45" s="90" t="str">
        <f t="shared" si="1636"/>
        <v/>
      </c>
      <c r="DC45" s="90" t="str">
        <f>IFERROR(IF(AND(LEFT($F45,4)="Acro",INDEX(Requ_App,MATCH(BP45,Requ_Code,0))="No"),"X",""),"")</f>
        <v/>
      </c>
      <c r="DD45" s="88" t="str">
        <f t="shared" si="10"/>
        <v/>
      </c>
      <c r="DE45" s="88" t="str">
        <f t="shared" si="11"/>
        <v/>
      </c>
      <c r="DF45" s="88" t="str">
        <f t="shared" si="12"/>
        <v/>
      </c>
      <c r="DG45" s="88" t="str">
        <f t="shared" si="13"/>
        <v/>
      </c>
      <c r="DK45" s="88">
        <f t="shared" ref="DK45" si="1637">IF(AND(E46="A",OR(Q45="Grip",Q45="Conn",Q45="Catch")),"A1",IF(AND(E46="A",OR(Q45="Hula",Q45="RetSq",Q45="RetPa")),"A2",IF(AND(E46="B",OR(Q45="Twirl",Q45="RotF")),"B1",IF(AND(E46="B",OR(Q45="Moon",Q45="Mov",Q45="Hold")),"B2",IF(AND(E46="P",OR(Q45="Porp",Q45="Splch")),"P1",IF(AND(E46="P",OR(Q45="Diva",Q45="Stand")),"P2",IF(AND(E46="P",OR(Q45="Spider",Q45="Climb")),"P3",IF(AND(E46="P",OR(Q45="Fall",Q45="FTurn")),"P4",IF(AND(E46="C",OR(Q45="Jump",Q45="Jump&gt;",Q45="On1Foot",Q45="1F&gt;1F")),"C1",IF(AND(E46="C",OR(Q45="Run",Q45="BRun")),"C2",1))))))))))</f>
        <v>1</v>
      </c>
      <c r="DL45" s="88">
        <f t="shared" ref="DL45" si="1638">IF(AND(E46="A",OR(R45="Grip",R45="Conn",R45="Catch")),"A1",IF(AND(E46="A",OR(R45="Hula",R45="RetSq",R45="RetPa")),"A2",IF(AND(E46="B",OR(R45="Twirl",R45="RotF")),"B1",IF(AND(E46="B",OR(R45="Moon",R45="Mov",R45="Hold")),"B2",IF(AND(E46="P",OR(R45="Porp",R45="Spich")),"P1",IF(AND(E46="P",OR(R45="Diva",R45="Stand")),"P2",IF(AND(E46="P",OR(R45="Spider",R45="Climb")),"P3",IF(AND(E46="P",OR(R45="Fall",R45="FTurn")),"P4",IF(AND(E46="C",OR(R45="Jump",R45="Jump&gt;",R45="On1Foot",R45="1F&gt;1F")),"C1",IF(AND(E46="C",OR(R45="Run",R45="BRun")),"C2",2))))))))))</f>
        <v>2</v>
      </c>
      <c r="DM45" s="88" t="str">
        <f t="shared" ref="DM45" si="1639">IF(AND(N45="",OR(Q45&lt;&gt;"",R45&lt;&gt;"")),"X",IF(AND(LEFT(F45,4)="Acro",Q45&lt;&gt;"",OR(Q45=R45,DK45=DL45)),IF(R45="C-Roll","","X"),IF(OR(AND(E46="A",Q45="Catch",R45&lt;&gt;"Dbl"),AND(E46="A",R45="Catch",Q45&lt;&gt;"Dbl")),"X","")))</f>
        <v/>
      </c>
      <c r="DN45" s="88" t="str">
        <f>IF(E46="PA",J45,"")</f>
        <v/>
      </c>
      <c r="DO45" s="88">
        <v>27</v>
      </c>
      <c r="DQ45" s="88" t="str">
        <f>IF(AND($E46="A",COUNTIF($DZ$19:$EA$68,DZ45)&gt;1),DZ45,"")</f>
        <v/>
      </c>
      <c r="DR45" s="88" t="str">
        <f>IF(AND($E46="A",COUNTIF($DZ$19:$EA$68,EA45)&gt;1),EA45,"")</f>
        <v/>
      </c>
      <c r="DS45" s="88" t="str">
        <f ca="1">IF(AND($E46="B",COUNTIF($J$19:$J$68,J45)&gt;1),J45,"")</f>
        <v/>
      </c>
      <c r="DT45" s="88" t="str">
        <f ca="1">IF(AND($E46="B",COUNTIF($K$19:$K$68,K45)&gt;1),K45,"")</f>
        <v/>
      </c>
      <c r="DU45" s="88" t="str">
        <f ca="1">IF(AND($E46="C",COUNTIF($J$19:$J$68,J45)&gt;1),J45,"")</f>
        <v/>
      </c>
      <c r="DV45" s="88" t="str">
        <f ca="1">IF(AND($E46="P",COUNTIF($J$19:$J$68,J45)&gt;1),J45,"")</f>
        <v/>
      </c>
      <c r="DW45" s="88" t="str">
        <f ca="1">IF(AND($E46="P",COUNTIF($K$19:$K$68,K45)&gt;1),K45,"")</f>
        <v/>
      </c>
      <c r="DX45" s="88" t="str">
        <f>IF(AND($E46="P",COUNTIF($DZ$19:$EA$68,DZ45)&gt;1),DZ45,"")</f>
        <v/>
      </c>
      <c r="DY45" s="88" t="str">
        <f>IF(AND($E46="P",COUNTIF($DZ$19:$EA$68,EA45)&gt;1),EA45,"")</f>
        <v/>
      </c>
      <c r="DZ45" s="88" t="str">
        <f>IFERROR(IF(OR(E46="A",E46="P"),M45,""),"")</f>
        <v/>
      </c>
      <c r="EA45" s="88" t="str">
        <f>IFERROR(IF(OR(E46="A",E46="P"),RIGHT(N45,2),""),"")</f>
        <v/>
      </c>
      <c r="EB45" s="88" t="str">
        <f t="shared" ref="EB45" si="1640">IF(Q45="","",IF(AND($E46="P",COUNTIF($Q$19:$R$68,Q45)&gt;1),Q45,""))</f>
        <v/>
      </c>
      <c r="EC45" s="88" t="str">
        <f t="shared" ref="EC45" si="1641">IF(R45="","",IF(AND($E46="P",COUNTIF($Q$19:$R$68,R45)&gt;1),R45,""))</f>
        <v/>
      </c>
      <c r="ED45" s="88" t="str">
        <f t="shared" si="14"/>
        <v/>
      </c>
      <c r="EE45" s="88" t="str">
        <f t="shared" si="15"/>
        <v/>
      </c>
      <c r="EF45" s="88" t="str">
        <f t="shared" ref="EF45" si="1642">IF(AND(OR($F$8="Open Team Acrobatic",$F$8="Open Team Technical"),LEFT(F45,4)="Acro"),E46,"")</f>
        <v/>
      </c>
      <c r="EG45" s="88" t="str">
        <f t="shared" ref="EG45" si="1643">IF(EF45="","",IFERROR(IF($F$8="Open Team Acrobatic",IF(HLOOKUP(EF45,$DQ$12:$DT$13,2,FALSE)&gt;2,"X",""),IF(HLOOKUP(EF45,$DQ$12:$DT$13,2,FALSE)&gt;1,"X","")),""))</f>
        <v/>
      </c>
      <c r="EI45" s="88" t="str">
        <f t="shared" ref="EI45" si="1644">IF(OR(AND(F45="Hybrid - Thrust + 2 connections",EI46="T"),AND(E46="H",EI46&lt;&gt;"",EI99="X")),"X","")</f>
        <v/>
      </c>
      <c r="EK45" s="88">
        <f t="shared" ref="EK45" si="1645">IFERROR(IF(AND($E46="H",J45&lt;&gt;"",J45&lt;&gt;"ChoHY"),IF(OR(LEFT(J45,1)="T",LEFT(J45,1)="S",LEFT(J45,1)="A",LEFT(J45,1)="F",LEFT(J45,1)="C"),LEFT(J45,1),"R"),EK$18),"")</f>
        <v>1</v>
      </c>
      <c r="EL45" s="88">
        <f t="shared" ref="EL45" si="1646">IFERROR(IF(AND($E46="H",K45&lt;&gt;""),IF(OR(LEFT(K45,1)="T",LEFT(K45,1)="S",LEFT(K45,1)="A",LEFT(K45,1)="F",LEFT(K45,1)="C"),LEFT(K45,1),"R"),EL$18),"")</f>
        <v>2</v>
      </c>
      <c r="EM45" s="88">
        <f t="shared" ref="EM45" si="1647">IFERROR(IF(AND($E46="H",L45&lt;&gt;""),IF(OR(LEFT(L45,1)="T",LEFT(L45,1)="S",LEFT(L45,1)="A",LEFT(L45,1)="F",LEFT(L45,1)="C"),LEFT(L45,1),"R"),EM$18),"")</f>
        <v>3</v>
      </c>
      <c r="EN45" s="88">
        <f t="shared" ref="EN45" si="1648">IFERROR(IF(AND($E46="H",M45&lt;&gt;""),IF(OR(LEFT(M45,1)="T",LEFT(M45,1)="S",LEFT(M45,1)="A",LEFT(M45,1)="F",LEFT(M45,1)="C"),LEFT(M45,1),"R"),EN$18),"")</f>
        <v>4</v>
      </c>
      <c r="EO45" s="88">
        <f t="shared" ref="EO45" si="1649">IFERROR(IF(AND($E46="H",N45&lt;&gt;""),IF(OR(LEFT(N45,1)="T",LEFT(N45,1)="S",LEFT(N45,1)="A",LEFT(N45,1)="F",LEFT(N45,1)="C"),LEFT(N45,1),"R"),EO$18),"")</f>
        <v>5</v>
      </c>
      <c r="EP45" s="88">
        <f t="shared" ref="EP45" si="1650">IFERROR(IF(AND($E46="H",O45&lt;&gt;""),IF(OR(LEFT(O45,1)="T",LEFT(O45,1)="S",LEFT(O45,1)="A",LEFT(O45,1)="F",LEFT(O45,1)="C"),LEFT(O45,1),"R"),EP$18),"")</f>
        <v>6</v>
      </c>
      <c r="EQ45" s="88">
        <f t="shared" ref="EQ45" si="1651">IFERROR(IF(AND($E46="H",P45&lt;&gt;""),IF(OR(LEFT(P45,1)="T",LEFT(P45,1)="S",LEFT(P45,1)="A",LEFT(P45,1)="F",LEFT(P45,1)="C"),LEFT(P45,1),"R"),EQ$18),"")</f>
        <v>7</v>
      </c>
      <c r="ER45" s="88">
        <f t="shared" ref="ER45" si="1652">IFERROR(IF(AND($E46="H",Q45&lt;&gt;""),IF(OR(LEFT(Q45,1)="T",LEFT(Q45,1)="S",LEFT(Q45,1)="A",LEFT(Q45,1)="F",LEFT(Q45,1)="C"),LEFT(Q45,1),"R"),ER$18),"")</f>
        <v>8</v>
      </c>
      <c r="ES45" s="88">
        <f t="shared" ref="ES45" si="1653">IFERROR(IF(AND($E46="H",R45&lt;&gt;""),IF(OR(LEFT(R45,1)="T",LEFT(R45,1)="S",LEFT(R45,1)="A",LEFT(R45,1)="F",LEFT(R45,1)="C"),LEFT(R45,1),"R"),ES$18),"")</f>
        <v>9</v>
      </c>
      <c r="ET45" s="88">
        <f t="shared" ref="ET45" si="1654">IFERROR(IF(AND($E46="H",S45&lt;&gt;""),IF(OR(LEFT(S45,1)="T",LEFT(S45,1)="S",LEFT(S45,1)="A",LEFT(S45,1)="F",LEFT(S45,1)="C"),LEFT(S45,1),"R"),ET$18),"")</f>
        <v>10</v>
      </c>
      <c r="EU45" s="88">
        <f t="shared" ref="EU45" si="1655">IFERROR(IF(AND($E46="H",T45&lt;&gt;""),IF(OR(LEFT(T45,1)="T",LEFT(T45,1)="S",LEFT(T45,1)="A",LEFT(T45,1)="F",LEFT(T45,1)="C"),LEFT(T45,1),"R"),EU$18),"")</f>
        <v>11</v>
      </c>
      <c r="EV45" s="88">
        <f t="shared" ref="EV45" si="1656">IFERROR(IF(AND($E46="H",U45&lt;&gt;""),IF(OR(LEFT(U45,1)="T",LEFT(U45,1)="S",LEFT(U45,1)="A",LEFT(U45,1)="F",LEFT(U45,1)="C"),LEFT(U45,1),"R"),EV$18),"")</f>
        <v>12</v>
      </c>
      <c r="EW45" s="88">
        <f t="shared" ref="EW45" si="1657">IFERROR(IF(AND($E46="H",V45&lt;&gt;""),IF(OR(LEFT(V45,1)="T",LEFT(V45,1)="S",LEFT(V45,1)="A",LEFT(V45,1)="F",LEFT(V45,1)="C"),LEFT(V45,1),"R"),EW$18),"")</f>
        <v>13</v>
      </c>
      <c r="EX45" s="88">
        <f t="shared" ref="EX45" si="1658">IFERROR(IF(AND($E46="H",W45&lt;&gt;""),IF(OR(LEFT(W45,1)="T",LEFT(W45,1)="S",LEFT(W45,1)="A",LEFT(W45,1)="F",LEFT(W45,1)="C"),LEFT(W45,1),"R"),EX$18),"")</f>
        <v>14</v>
      </c>
      <c r="EY45" s="88">
        <f t="shared" ref="EY45" si="1659">IFERROR(IF(AND($E46="H",X45&lt;&gt;""),IF(OR(LEFT(X45,1)="T",LEFT(X45,1)="S",LEFT(X45,1)="A",LEFT(X45,1)="F",LEFT(X45,1)="C"),LEFT(X45,1),"R"),EY$18),"")</f>
        <v>15</v>
      </c>
      <c r="EZ45" s="88">
        <f t="shared" ref="EZ45" si="1660">IFERROR(IF(AND($E46="H",Y45&lt;&gt;""),IF(OR(LEFT(Y45,1)="T",LEFT(Y45,1)="S",LEFT(Y45,1)="A",LEFT(Y45,1)="F",LEFT(Y45,1)="C"),LEFT(Y45,1),"R"),EZ$18),"")</f>
        <v>16</v>
      </c>
      <c r="FA45" s="88">
        <f t="shared" ref="FA45" si="1661">IFERROR(IF(AND($E46="H",Z45&lt;&gt;""),IF(OR(LEFT(Z45,1)="T",LEFT(Z45,1)="S",LEFT(Z45,1)="A",LEFT(Z45,1)="F",LEFT(Z45,1)="C"),LEFT(Z45,1),"R"),FA$18),"")</f>
        <v>17</v>
      </c>
      <c r="FB45" s="88">
        <f t="shared" ref="FB45" si="1662">IFERROR(IF(AND($E46="H",AA45&lt;&gt;""),IF(OR(LEFT(AA45,1)="T",LEFT(AA45,1)="S",LEFT(AA45,1)="A",LEFT(AA45,1)="F",LEFT(AA45,1)="C"),LEFT(AA45,1),"R"),FB$18),"")</f>
        <v>18</v>
      </c>
      <c r="FC45" s="88">
        <f t="shared" ref="FC45" si="1663">IFERROR(IF(AND($E46="H",AB45&lt;&gt;""),IF(OR(LEFT(AB45,1)="T",LEFT(AB45,1)="S",LEFT(AB45,1)="A",LEFT(AB45,1)="F",LEFT(AB45,1)="C"),LEFT(AB45,1),"R"),FC$18),"")</f>
        <v>19</v>
      </c>
      <c r="FD45" s="88">
        <f t="shared" ref="FD45" si="1664">IFERROR(IF(AND($E46="H",AC45&lt;&gt;""),IF(OR(LEFT(AC45,1)="T",LEFT(AC45,1)="S",LEFT(AC45,1)="A",LEFT(AC45,1)="F",LEFT(AC45,1)="C"),LEFT(AC45,1),"R"),FD$18),"")</f>
        <v>20</v>
      </c>
      <c r="FE45" s="88">
        <f t="shared" ref="FE45" si="1665">IFERROR(IF(AND($E46="H",AD45&lt;&gt;""),IF(OR(LEFT(AD45,1)="T",LEFT(AD45,1)="S",LEFT(AD45,1)="A",LEFT(AD45,1)="F",LEFT(AD45,1)="C"),LEFT(AD45,1),"R"),FE$18),"")</f>
        <v>21</v>
      </c>
      <c r="FF45" s="88">
        <f t="shared" ref="FF45" si="1666">IFERROR(IF(AND($E46="H",AE45&lt;&gt;""),IF(OR(LEFT(AE45,1)="T",LEFT(AE45,1)="S",LEFT(AE45,1)="A",LEFT(AE45,1)="F",LEFT(AE45,1)="C"),LEFT(AE45,1),"R"),FF$18),"")</f>
        <v>22</v>
      </c>
      <c r="FG45" s="88">
        <f t="shared" ref="FG45" si="1667">IFERROR(IF(AND($E46="H",AF45&lt;&gt;""),IF(OR(LEFT(AF45,1)="T",LEFT(AF45,1)="S",LEFT(AF45,1)="A",LEFT(AF45,1)="F",LEFT(AF45,1)="C"),LEFT(AF45,1),"R"),FG$18),"")</f>
        <v>23</v>
      </c>
      <c r="FH45" s="88">
        <f t="shared" ref="FH45" si="1668">IFERROR(IF(AND($E46="H",AG45&lt;&gt;""),IF(OR(LEFT(AG45,1)="T",LEFT(AG45,1)="S",LEFT(AG45,1)="A",LEFT(AG45,1)="F",LEFT(AG45,1)="C"),LEFT(AG45,1),"R"),FH$18),"")</f>
        <v>24</v>
      </c>
      <c r="FI45" s="88">
        <f t="shared" ref="FI45" si="1669">IFERROR(IF(AND($E46="H",AH45&lt;&gt;""),IF(OR(LEFT(AH45,1)="T",LEFT(AH45,1)="S",LEFT(AH45,1)="A",LEFT(AH45,1)="F",LEFT(AH45,1)="C"),LEFT(AH45,1),"R"),FI$18),"")</f>
        <v>25</v>
      </c>
      <c r="FJ45" s="88">
        <f t="shared" ref="FJ45" si="1670">IFERROR(IF(AND($E46="H",AI45&lt;&gt;""),IF(OR(LEFT(AI45,1)="T",LEFT(AI45,1)="S",LEFT(AI45,1)="A",LEFT(AI45,1)="F",LEFT(AI45,1)="C"),LEFT(AI45,1),"R"),FJ$18),"")</f>
        <v>26</v>
      </c>
      <c r="FK45" s="88">
        <f t="shared" ref="FK45" si="1671">IFERROR(IF(AND($E46="H",AJ45&lt;&gt;""),IF(OR(LEFT(AJ45,1)="T",LEFT(AJ45,1)="S",LEFT(AJ45,1)="A",LEFT(AJ45,1)="F",LEFT(AJ45,1)="C"),LEFT(AJ45,1),"R"),FK$18),"")</f>
        <v>27</v>
      </c>
      <c r="FL45" s="88">
        <f t="shared" ref="FL45" si="1672">IFERROR(IF(AND($E46="H",AK45&lt;&gt;""),IF(OR(LEFT(AK45,1)="T",LEFT(AK45,1)="S",LEFT(AK45,1)="A",LEFT(AK45,1)="F",LEFT(AK45,1)="C"),LEFT(AK45,1),"R"),FL$18),"")</f>
        <v>28</v>
      </c>
      <c r="FM45" s="88">
        <f t="shared" ref="FM45" si="1673">IFERROR(IF(AND($E46="H",AL45&lt;&gt;""),IF(OR(LEFT(AL45,1)="T",LEFT(AL45,1)="S",LEFT(AL45,1)="A",LEFT(AL45,1)="F",LEFT(AL45,1)="C"),LEFT(AL45,1),"R"),FM$18),"")</f>
        <v>29</v>
      </c>
      <c r="FN45" s="88">
        <f t="shared" ref="FN45" si="1674">IFERROR(IF(AND($E46="H",AM45&lt;&gt;""),IF(OR(LEFT(AM45,1)="T",LEFT(AM45,1)="S",LEFT(AM45,1)="A",LEFT(AM45,1)="F",LEFT(AM45,1)="C"),LEFT(AM45,1),"R"),FN$18),"")</f>
        <v>30</v>
      </c>
      <c r="FO45" s="88"/>
      <c r="FP45" s="88"/>
      <c r="FQ45" s="88"/>
      <c r="FR45" s="285"/>
      <c r="FS45" s="285"/>
      <c r="FT45" s="285"/>
      <c r="FU45" s="285"/>
      <c r="FV45" s="285"/>
      <c r="FW45" s="285"/>
      <c r="FX45" s="285"/>
      <c r="FY45" s="285"/>
      <c r="FZ45" s="285"/>
      <c r="GA45" s="285"/>
      <c r="GB45" s="285"/>
      <c r="GC45" s="285"/>
      <c r="GD45" s="285"/>
      <c r="GE45" s="285"/>
      <c r="GF45" s="285"/>
      <c r="GG45" s="285"/>
      <c r="GH45" s="285"/>
      <c r="GI45" s="285"/>
      <c r="GJ45" s="285"/>
      <c r="GK45" s="285"/>
      <c r="GL45" s="285"/>
      <c r="GM45" s="285"/>
      <c r="GN45" s="285"/>
      <c r="GO45" s="285"/>
      <c r="GP45" s="285"/>
      <c r="GQ45" s="285"/>
      <c r="GR45" s="285"/>
      <c r="GS45" s="285"/>
      <c r="GT45" s="285"/>
      <c r="GU45" s="285"/>
      <c r="GV45" s="88"/>
      <c r="GW45" s="88">
        <f t="shared" ref="GW45" si="1675">COUNTIF($EK45:$FN45,GW$18)</f>
        <v>0</v>
      </c>
      <c r="GX45" s="88">
        <f t="shared" si="1021"/>
        <v>0</v>
      </c>
      <c r="GY45" s="88">
        <f t="shared" si="1021"/>
        <v>0</v>
      </c>
      <c r="GZ45" s="88">
        <f t="shared" si="1021"/>
        <v>0</v>
      </c>
      <c r="HA45" s="88">
        <f t="shared" si="1021"/>
        <v>0</v>
      </c>
      <c r="HB45" s="88">
        <f t="shared" si="1021"/>
        <v>0</v>
      </c>
      <c r="HC45" s="88"/>
      <c r="HD45" s="88" t="str">
        <f t="shared" ref="HD45" si="1676">IF(AND($F45="Hybrid - Thrust + 2 connections",HD46=0,LEFT($J45,1)="C",LEFT($K45,1)="C",LEFT($L45,1)="C"),"X","")</f>
        <v/>
      </c>
      <c r="HE45" s="88"/>
      <c r="HF45" s="91"/>
      <c r="HG45" s="100"/>
      <c r="HH45" s="100"/>
      <c r="HI45" s="91" t="str">
        <f t="shared" ref="HI45" si="1677">IF(E46=3,IF(_xlfn.NUMBERVALUE(LEFT(J45,1))&gt;0,_xlfn.NUMBERVALUE(LEFT(J45,1)),""),"")</f>
        <v/>
      </c>
      <c r="HK45" s="91" t="str">
        <f t="shared" ref="HK45" si="1678">IF(OR(E46="B",E46="P"),E46,"")</f>
        <v/>
      </c>
      <c r="HL45" s="91" t="str">
        <f>IF(AND(J45&lt;&gt;"",HK45&lt;&gt;""),IF(HK45="B",MATCH(J45,AcroDD!$U$3:$AE$3,0),MATCH(J45,AcroDD!$U$30:$AC$30,0)),"")</f>
        <v/>
      </c>
      <c r="HM45" s="91" t="str">
        <f t="shared" ref="HM45" si="1679">IF(AND(K45&lt;&gt;"",HK45&lt;&gt;""),K45,"")</f>
        <v/>
      </c>
      <c r="HN45" s="91" t="str">
        <f>_xlfn.LET(_xlpm.lista,IF(HK45="B",INDEX(AcroDD!$T$4:$AE$23,0,HL45+1),INDEX(AcroDD!$T$31:$AC$50,0,HL45+1)),IF(AND(OR(HK45="B",HK45="P"),HL45&lt;&gt;"",HM45&lt;&gt;""),IF(ISNUMBER(MATCH(HM45,_xlpm.lista,0)),"OK","X"),""))</f>
        <v/>
      </c>
    </row>
    <row r="46" spans="1:222" ht="12.75" customHeight="1" x14ac:dyDescent="0.35">
      <c r="A46" s="28"/>
      <c r="B46" s="29"/>
      <c r="C46" s="29"/>
      <c r="D46" s="29"/>
      <c r="E46" s="17" t="str">
        <f t="shared" ref="E46" si="1680">IF(F45="Acrobatic - Pair","PA",IF(F45="Acrobatic Airborn","A",IF(F45="Acrobatic Balance","B",IF(F45="Acrobatic Combined","C",IF(F45="Acrobatic Platform","P",IF(F45="Technical Required Element",3,IF(LEFT(F45,4)="Hybr","H","")))))))</f>
        <v/>
      </c>
      <c r="F46" s="17" t="str">
        <f>IF(AND(F45="Hybrid - Thrust + 2 connections",CR45="X"),"Hybrid - Thrust",IF(OR(E46="A",E46="B",E46="C",E46="P"),"Acrobatic",""))</f>
        <v/>
      </c>
      <c r="G46" s="31"/>
      <c r="H46" s="182" t="str">
        <f t="shared" ref="H46" si="1681">IF(E46="PA",IF(OR(LEFT(J45,1)="L",LEFT(J45,1)="S"),"A-Pair-Lift",IF(OR(LEFT(J45,1)="W",LEFT(J45,1)="T"),"A-Pair-Throw",IF(LEFT(J45,1)="J","A-Pair-Jump","A-Pair"))),IF(OR(E46="A",E46="B",E46="C",E46="P"),CONCATENATE("Acro-",E46),""))</f>
        <v/>
      </c>
      <c r="I46" s="176" t="e">
        <f>IF(OR(F45="Hybrid - Choreography (DD = 1)",LEFT(F45,5)="Trans"),0,INDEX($BY$3:$BY$9,MATCH(E46,$BX$3:$BX$9,0)))</f>
        <v>#N/A</v>
      </c>
      <c r="J46" s="171">
        <f ca="1">IFERROR(IF($H45="No DD",IF(J45="ChoHY",1,0),IF(OR(ISBLANK(J45),J45="N/A"),0,INDEX(INDIRECT(BI46),MATCH(J45,INDIRECT(BI45),0)))),0)</f>
        <v>0</v>
      </c>
      <c r="K46" s="171">
        <f t="shared" ref="K46:Y46" ca="1" si="1682">IFERROR(IF($H45="No DD",0,IF(OR(ISBLANK(K45),K45="N/A"),0,INDEX(INDIRECT(BJ46),MATCH(K45,INDIRECT(BJ45),0)))),0)</f>
        <v>0</v>
      </c>
      <c r="L46" s="171">
        <f t="shared" ca="1" si="1682"/>
        <v>0</v>
      </c>
      <c r="M46" s="171">
        <f t="shared" ca="1" si="1682"/>
        <v>0</v>
      </c>
      <c r="N46" s="171">
        <f t="shared" ca="1" si="1682"/>
        <v>0</v>
      </c>
      <c r="O46" s="171">
        <f t="shared" ca="1" si="1682"/>
        <v>0</v>
      </c>
      <c r="P46" s="171">
        <f t="shared" ca="1" si="1682"/>
        <v>0</v>
      </c>
      <c r="Q46" s="171">
        <f t="shared" ca="1" si="1682"/>
        <v>0</v>
      </c>
      <c r="R46" s="171">
        <f t="shared" ca="1" si="1682"/>
        <v>0</v>
      </c>
      <c r="S46" s="171">
        <f t="shared" ca="1" si="1682"/>
        <v>0</v>
      </c>
      <c r="T46" s="171">
        <f t="shared" ca="1" si="1682"/>
        <v>0</v>
      </c>
      <c r="U46" s="171">
        <f t="shared" ca="1" si="1682"/>
        <v>0</v>
      </c>
      <c r="V46" s="171">
        <f t="shared" ca="1" si="1682"/>
        <v>0</v>
      </c>
      <c r="W46" s="171">
        <f t="shared" ca="1" si="1682"/>
        <v>0</v>
      </c>
      <c r="X46" s="171">
        <f t="shared" ca="1" si="1682"/>
        <v>0</v>
      </c>
      <c r="Y46" s="171">
        <f t="shared" ca="1" si="1682"/>
        <v>0</v>
      </c>
      <c r="Z46" s="171">
        <f t="shared" ref="Z46" ca="1" si="1683">IFERROR(IF($H45="No DD",0,IF(OR(ISBLANK(Z45),Z45="N/A"),0,INDEX(INDIRECT(BY46),MATCH(Z45,INDIRECT(BY45),0)))),0)</f>
        <v>0</v>
      </c>
      <c r="AA46" s="171">
        <f t="shared" ref="AA46" ca="1" si="1684">IFERROR(IF($H45="No DD",0,IF(OR(ISBLANK(AA45),AA45="N/A"),0,INDEX(INDIRECT(BZ46),MATCH(AA45,INDIRECT(BZ45),0)))),0)</f>
        <v>0</v>
      </c>
      <c r="AB46" s="171">
        <f t="shared" ref="AB46" ca="1" si="1685">IFERROR(IF($H45="No DD",0,IF(OR(ISBLANK(AB45),AB45="N/A"),0,INDEX(INDIRECT(CA46),MATCH(AB45,INDIRECT(CA45),0)))),0)</f>
        <v>0</v>
      </c>
      <c r="AC46" s="171">
        <f t="shared" ref="AC46" ca="1" si="1686">IFERROR(IF($H45="No DD",0,IF(OR(ISBLANK(AC45),AC45="N/A"),0,INDEX(INDIRECT(CB46),MATCH(AC45,INDIRECT(CB45),0)))),0)</f>
        <v>0</v>
      </c>
      <c r="AD46" s="171">
        <f t="shared" ref="AD46" ca="1" si="1687">IFERROR(IF($H45="No DD",0,IF(OR(ISBLANK(AD45),AD45="N/A"),0,INDEX(INDIRECT(CC46),MATCH(AD45,INDIRECT(CC45),0)))),0)</f>
        <v>0</v>
      </c>
      <c r="AE46" s="171">
        <f t="shared" ref="AE46" ca="1" si="1688">IFERROR(IF($H45="No DD",0,IF(OR(ISBLANK(AE45),AE45="N/A"),0,INDEX(INDIRECT(CD46),MATCH(AE45,INDIRECT(CD45),0)))),0)</f>
        <v>0</v>
      </c>
      <c r="AF46" s="171">
        <f t="shared" ref="AF46" ca="1" si="1689">IFERROR(IF($H45="No DD",0,IF(OR(ISBLANK(AF45),AF45="N/A"),0,INDEX(INDIRECT(CE46),MATCH(AF45,INDIRECT(CE45),0)))),0)</f>
        <v>0</v>
      </c>
      <c r="AG46" s="171">
        <f t="shared" ref="AG46" ca="1" si="1690">IFERROR(IF($H45="No DD",0,IF(OR(ISBLANK(AG45),AG45="N/A"),0,INDEX(INDIRECT(CF46),MATCH(AG45,INDIRECT(CF45),0)))),0)</f>
        <v>0</v>
      </c>
      <c r="AH46" s="171">
        <f t="shared" ref="AH46" ca="1" si="1691">IFERROR(IF($H45="No DD",0,IF(OR(ISBLANK(AH45),AH45="N/A"),0,INDEX(INDIRECT(CG46),MATCH(AH45,INDIRECT(CG45),0)))),0)</f>
        <v>0</v>
      </c>
      <c r="AI46" s="171">
        <f t="shared" ref="AI46" ca="1" si="1692">IFERROR(IF($H45="No DD",0,IF(OR(ISBLANK(AI45),AI45="N/A"),0,INDEX(INDIRECT(CH46),MATCH(AI45,INDIRECT(CH45),0)))),0)</f>
        <v>0</v>
      </c>
      <c r="AJ46" s="171">
        <f t="shared" ref="AJ46" ca="1" si="1693">IFERROR(IF($H45="No DD",0,IF(OR(ISBLANK(AJ45),AJ45="N/A"),0,INDEX(INDIRECT(CI46),MATCH(AJ45,INDIRECT(CI45),0)))),0)</f>
        <v>0</v>
      </c>
      <c r="AK46" s="171">
        <f t="shared" ref="AK46" ca="1" si="1694">IFERROR(IF($H45="No DD",0,IF(OR(ISBLANK(AK45),AK45="N/A"),0,INDEX(INDIRECT(CJ46),MATCH(AK45,INDIRECT(CJ45),0)))),0)</f>
        <v>0</v>
      </c>
      <c r="AL46" s="171">
        <f t="shared" ref="AL46" ca="1" si="1695">IFERROR(IF($H45="No DD",0,IF(OR(ISBLANK(AL45),AL45="N/A"),0,INDEX(INDIRECT(CK46),MATCH(AL45,INDIRECT(CK45),0)))),0)</f>
        <v>0</v>
      </c>
      <c r="AM46" s="171">
        <f t="shared" ref="AM46" ca="1" si="1696">IFERROR(IF($H45="No DD",0,IF(OR(ISBLANK(AM45),AM45="N/A"),0,INDEX(INDIRECT(CL46),MATCH(AM45,INDIRECT(CL45),0)))),0)</f>
        <v>0</v>
      </c>
      <c r="AN46" s="172" t="str">
        <f>IFERROR(IF(E46="H",INDEX(HybridBonus_Value,MATCH(AN45,HybridBonus_Code,0)),""),"")</f>
        <v/>
      </c>
      <c r="AO46" s="276" t="str">
        <f t="shared" ref="AO46" si="1697">IFERROR(SUM(I46:AN46),"")</f>
        <v/>
      </c>
      <c r="AP46" s="62"/>
      <c r="AQ46" s="62"/>
      <c r="AR46" s="101"/>
      <c r="AS46" s="101"/>
      <c r="AT46" s="101"/>
      <c r="AU46" s="101"/>
      <c r="AV46" s="101"/>
      <c r="BA46" s="90"/>
      <c r="BB46" s="101"/>
      <c r="BC46" s="101"/>
      <c r="BD46" s="101"/>
      <c r="BE46" s="101"/>
      <c r="BF46" s="101"/>
      <c r="BG46" s="90"/>
      <c r="BH46" s="101"/>
      <c r="BI46" s="91" t="str">
        <f t="shared" ref="BI46" si="1698">IF($E46="H",IF($F45="Hybrid - Thrust + 2 connections","Hybrid_Mix_Req_Value","HybridDD_Value"),IF($E46=3,"TreDD_Value",IF($E46="PA","AcroPair_Value",IF(LEFT($F45,4)="Acro",CONCATENATE(BI$16,$E46,"_Value"),""))))</f>
        <v/>
      </c>
      <c r="BJ46" s="91" t="str">
        <f t="shared" ref="BJ46" si="1699">IF($E46="H",IF($F45="Hybrid - Thrust + 2 connections","Hybrid_Mix_Req_Value","HybridDD_Value"),IF($E46=3,"TreDD_Value",IF($E46="PA","AcroPair_Value",IF(LEFT($F45,4)="Acro",CONCATENATE(BJ$16,$E46,"_Value"),""))))</f>
        <v/>
      </c>
      <c r="BK46" s="91" t="str">
        <f t="shared" ref="BK46" si="1700">IF($E46="H",IF($F45="Hybrid - Thrust + 2 connections","Hybrid_Mix_Req_Value","HybridDD_Value"),IF($E46=3,"TreDD_Value",IF($E46="PA","AcroPair_Value",IF(LEFT($F45,4)="Acro",CONCATENATE(BK$16,$E46,"_Value"),""))))</f>
        <v/>
      </c>
      <c r="BL46" s="91" t="str">
        <f t="shared" ref="BL46" si="1701">IF($E46="H",IF($F45="Hybrid - Thrust + 2 connections","Hybrid_Mix_Req_Value","HybridDD_Value"),IF($E46=3,"TreDD_Value",IF($E46="PA","AcroPair_Value",IF(LEFT($F45,4)="Acro",CONCATENATE(BL$16,$E46,"_Value"),""))))</f>
        <v/>
      </c>
      <c r="BM46" s="91" t="str">
        <f t="shared" ref="BM46" si="1702">IF($E46="H",IF($F45="Hybrid - Thrust + 2 connections","Hybrid_Mix_Req_Value","HybridDD_Value"),IF($E46=3,"TreDD_Value",IF($E46="PA","AcroPair_Value",IF(LEFT($F45,4)="Acro",CONCATENATE(BM$16,$E46,"_Value"),""))))</f>
        <v/>
      </c>
      <c r="BN46" s="91" t="str">
        <f t="shared" ref="BN46" si="1703">IF($E46="H",IF($F45="Hybrid - Thrust + 2 connections","Hybrid_Mix_Req_Value","HybridDD_Value"),IF($E46=3,"TreDD_Value",IF($E46="PA","AcroPair_Value",IF(LEFT($F45,4)="Acro",CONCATENATE(BN$16,$E46,"_Value"),""))))</f>
        <v/>
      </c>
      <c r="BO46" s="91" t="str">
        <f t="shared" ref="BO46" si="1704">IF($E46="H",IF($F45="Hybrid - Thrust + 2 connections","Hybrid_Mix_Req_Value","HybridDD_Value"),IF($E46=3,"TreDD_Value",IF($E46="PA","AcroPair_Value",IF(LEFT($F45,4)="Acro",CONCATENATE(BO$16,$E46,"_Value"),""))))</f>
        <v/>
      </c>
      <c r="BP46" s="91" t="str">
        <f t="shared" ref="BP46" si="1705">IF($E46="H",IF($F45="Hybrid - Thrust + 2 connections","Hybrid_Mix_Req_Value","HybridDD_Value"),IF($E46=3,"TreDD_Value",IF($E46="PA","AcroPair_Value",IF(LEFT($F45,4)="Acro",CONCATENATE(BP$16,$E46,"_Value"),""))))</f>
        <v/>
      </c>
      <c r="BQ46" s="91" t="str">
        <f t="shared" ref="BQ46" si="1706">IF($E46="H",IF($F45="Hybrid - Thrust + 2 connections","Hybrid_Mix_Req_Value","HybridDD_Value"),IF($E46=3,"TreDD_Value",IF($E46="PA","AcroPair_Value",IF(LEFT($F45,4)="Acro",CONCATENATE(BQ$16,$E46,"_Value"),""))))</f>
        <v/>
      </c>
      <c r="BR46" s="90" t="str">
        <f t="shared" ref="BR46" si="1707">IF($E46="H",IF($F45="Hybrid - Thrust + 2 connections","Data!$BI$1:$BI$5","HybridDD_Value"),"Data!$BI$1:$BI$5")</f>
        <v>Data!$BI$1:$BI$5</v>
      </c>
      <c r="BS46" s="90" t="str">
        <f t="shared" ref="BS46" si="1708">IF($E46="H",IF($F45="Hybrid - Thrust + 2 connections","Data!$BI$1:$BI$5","HybridDD_Value"),"Data!$BI$1:$BI$5")</f>
        <v>Data!$BI$1:$BI$5</v>
      </c>
      <c r="BT46" s="90" t="str">
        <f t="shared" ref="BT46" si="1709">IF($E46="H",IF($F45="Hybrid - Thrust + 2 connections","Data!$BI$1:$BI$5","HybridDD_Value"),"Data!$BI$1:$BI$5")</f>
        <v>Data!$BI$1:$BI$5</v>
      </c>
      <c r="BU46" s="90" t="str">
        <f t="shared" ref="BU46" si="1710">IF($E46="H",IF($F45="Hybrid - Thrust + 2 connections","Data!$BI$1:$BI$5","HybridDD_Value"),"Data!$BI$1:$BI$5")</f>
        <v>Data!$BI$1:$BI$5</v>
      </c>
      <c r="BV46" s="90" t="str">
        <f t="shared" ref="BV46" si="1711">IF($E46="H",IF($F45="Hybrid - Thrust + 2 connections","Data!$BI$1:$BI$5","HybridDD_Value"),"Data!$BI$1:$BI$5")</f>
        <v>Data!$BI$1:$BI$5</v>
      </c>
      <c r="BW46" s="90" t="str">
        <f t="shared" ref="BW46" si="1712">IF($E46="H",IF($F45="Hybrid - Thrust + 2 connections","Data!$BI$1:$BI$5","HybridDD_Value"),"Data!$BI$1:$BI$5")</f>
        <v>Data!$BI$1:$BI$5</v>
      </c>
      <c r="BX46" s="90" t="str">
        <f t="shared" ref="BX46" si="1713">IF($E46="H",IF($F45="Hybrid - Thrust + 2 connections","Data!$BI$1:$BI$5","HybridDD_Value"),"Data!$BI$1:$BI$5")</f>
        <v>Data!$BI$1:$BI$5</v>
      </c>
      <c r="BY46" s="90" t="str">
        <f t="shared" ref="BY46" si="1714">IF($E46="H",IF($F45="Hybrid - Thrust + 2 connections","Data!$BI$1:$BI$5","HybridDD_Value"),"Data!$BI$1:$BI$5")</f>
        <v>Data!$BI$1:$BI$5</v>
      </c>
      <c r="BZ46" s="90" t="str">
        <f t="shared" ref="BZ46" si="1715">IF($E46="H",IF($F45="Hybrid - Thrust + 2 connections","Data!$BI$1:$BI$5","HybridDD_Value"),"Data!$BI$1:$BI$5")</f>
        <v>Data!$BI$1:$BI$5</v>
      </c>
      <c r="CA46" s="90" t="str">
        <f t="shared" ref="CA46" si="1716">IF($E46="H",IF($F45="Hybrid - Thrust + 2 connections","Data!$BI$1:$BI$5","HybridDD_Value"),"Data!$BI$1:$BI$5")</f>
        <v>Data!$BI$1:$BI$5</v>
      </c>
      <c r="CB46" s="90" t="str">
        <f t="shared" ref="CB46" si="1717">IF($E46="H",IF($F45="Hybrid - Thrust + 2 connections","Data!$BI$1:$BI$5","HybridDD_Value"),"Data!$BI$1:$BI$5")</f>
        <v>Data!$BI$1:$BI$5</v>
      </c>
      <c r="CC46" s="90" t="str">
        <f t="shared" ref="CC46" si="1718">IF($E46="H",IF($F45="Hybrid - Thrust + 2 connections","Data!$BI$1:$BI$5","HybridDD_Value"),"Data!$BI$1:$BI$5")</f>
        <v>Data!$BI$1:$BI$5</v>
      </c>
      <c r="CD46" s="90" t="str">
        <f t="shared" ref="CD46" si="1719">IF($E46="H",IF($F45="Hybrid - Thrust + 2 connections","Data!$BI$1:$BI$5","HybridDD_Value"),"Data!$BI$1:$BI$5")</f>
        <v>Data!$BI$1:$BI$5</v>
      </c>
      <c r="CE46" s="90" t="str">
        <f t="shared" ref="CE46" si="1720">IF($E46="H",IF($F45="Hybrid - Thrust + 2 connections","Data!$BI$1:$BI$5","HybridDD_Value"),"Data!$BI$1:$BI$5")</f>
        <v>Data!$BI$1:$BI$5</v>
      </c>
      <c r="CF46" s="90" t="str">
        <f t="shared" ref="CF46" si="1721">IF($E46="H",IF($F45="Hybrid - Thrust + 2 connections","Data!$BI$1:$BI$5","HybridDD_Value"),"Data!$BI$1:$BI$5")</f>
        <v>Data!$BI$1:$BI$5</v>
      </c>
      <c r="CG46" s="90" t="str">
        <f t="shared" ref="CG46" si="1722">IF($E46="H",IF($F45="Hybrid - Thrust + 2 connections","Data!$BI$1:$BI$5","HybridDD_Value"),"Data!$BI$1:$BI$5")</f>
        <v>Data!$BI$1:$BI$5</v>
      </c>
      <c r="CH46" s="90" t="str">
        <f t="shared" ref="CH46" si="1723">IF($E46="H",IF($F45="Hybrid - Thrust + 2 connections","Data!$BI$1:$BI$5","HybridDD_Value"),"Data!$BI$1:$BI$5")</f>
        <v>Data!$BI$1:$BI$5</v>
      </c>
      <c r="CI46" s="90" t="str">
        <f t="shared" ref="CI46" si="1724">IF($E46="H",IF($F45="Hybrid - Thrust + 2 connections","Data!$BI$1:$BI$5","HybridDD_Value"),"Data!$BI$1:$BI$5")</f>
        <v>Data!$BI$1:$BI$5</v>
      </c>
      <c r="CJ46" s="90" t="str">
        <f t="shared" ref="CJ46" si="1725">IF($E46="H",IF($F45="Hybrid - Thrust + 2 connections","Data!$BI$1:$BI$5","HybridDD_Value"),"Data!$BI$1:$BI$5")</f>
        <v>Data!$BI$1:$BI$5</v>
      </c>
      <c r="CK46" s="90" t="str">
        <f t="shared" ref="CK46" si="1726">IF($E46="H",IF($F45="Hybrid - Thrust + 2 connections","Data!$BI$1:$BI$5","HybridDD_Value"),"Data!$BI$1:$BI$5")</f>
        <v>Data!$BI$1:$BI$5</v>
      </c>
      <c r="CL46" s="90" t="str">
        <f t="shared" ref="CL46" si="1727">IF($E46="H",IF($F45="Hybrid - Thrust + 2 connections","Data!$BI$1:$BI$5","HybridDD_Value"),"Data!$BI$1:$BI$5")</f>
        <v>Data!$BI$1:$BI$5</v>
      </c>
      <c r="CM46" s="101"/>
      <c r="CN46" s="101"/>
      <c r="CO46" s="102" t="str">
        <f>IFERROR(IF(AND($BV$6="T",$BV$8="T",LEFT(F45,4)="Acro",AO46&gt;3),"X",IF($N$7="X",IF(AND(E46="C",AO46&gt;$CN$6),"X",IF(AND(E46="A",AO46&gt;$CN$4),"X",IF(AND(E46="B",AO46&gt;$CN$5),"X",IF(AND(E46="P",AO46&gt;$CN$7),"X","")))),"")),"")</f>
        <v/>
      </c>
      <c r="CP46" s="94"/>
      <c r="CQ46" s="91"/>
      <c r="CS46" s="91"/>
      <c r="CT46" s="91"/>
      <c r="CU46" s="91"/>
      <c r="CV46" s="91"/>
      <c r="CW46" s="91"/>
      <c r="CX46" s="91"/>
      <c r="CY46" s="91"/>
      <c r="CZ46" s="91"/>
      <c r="DD46" s="88" t="str">
        <f t="shared" si="10"/>
        <v/>
      </c>
      <c r="DE46" s="88" t="str">
        <f t="shared" si="11"/>
        <v/>
      </c>
      <c r="DF46" s="88" t="str">
        <f t="shared" si="12"/>
        <v/>
      </c>
      <c r="DG46" s="88" t="str">
        <f t="shared" si="13"/>
        <v/>
      </c>
      <c r="DO46" s="88">
        <v>28</v>
      </c>
      <c r="ED46" s="88" t="str">
        <f t="shared" si="14"/>
        <v/>
      </c>
      <c r="EE46" s="88" t="str">
        <f t="shared" si="15"/>
        <v/>
      </c>
      <c r="EI46" s="88" t="str" cm="1">
        <f t="array" ref="EI46">IFERROR(INDEX(EK46:FN46,MATCH(TRUE,INDEX((EK46:FN46&lt;&gt;""),),0)),"")</f>
        <v/>
      </c>
      <c r="EK46" s="88" t="str">
        <f t="shared" ref="EK46" si="1728">IF(F45="Hybrid - Thrust + 2 connections",IF(COUNTIF($EK45:$FN45,EK45)&gt;1,EK45,""),IF(COUNTIF($EK45:$FN45,EK45)&gt;5,EK45,""))</f>
        <v/>
      </c>
      <c r="EL46" s="88" t="str">
        <f t="shared" ref="EL46" si="1729">IF(G45="Hybrid - Thrust + 2 connections",IF(COUNTIF($EK45:$FN45,EL45)&gt;1,EL45,""),IF(COUNTIF($EK45:$FN45,EL45)&gt;5,EL45,""))</f>
        <v/>
      </c>
      <c r="EM46" s="88" t="str">
        <f t="shared" ref="EM46" si="1730">IF(H45="Hybrid - Thrust + 2 connections",IF(COUNTIF($EK45:$FN45,EM45)&gt;1,EM45,""),IF(COUNTIF($EK45:$FN45,EM45)&gt;5,EM45,""))</f>
        <v/>
      </c>
      <c r="EN46" s="88" t="str">
        <f t="shared" ref="EN46" si="1731">IF(I45="Hybrid - Thrust + 2 connections",IF(COUNTIF($EK45:$FN45,EN45)&gt;1,EN45,""),IF(COUNTIF($EK45:$FN45,EN45)&gt;5,EN45,""))</f>
        <v/>
      </c>
      <c r="EO46" s="88" t="str">
        <f t="shared" ref="EO46" si="1732">IF(J45="Hybrid - Thrust + 2 connections",IF(COUNTIF($EK45:$FN45,EO45)&gt;1,EO45,""),IF(COUNTIF($EK45:$FN45,EO45)&gt;5,EO45,""))</f>
        <v/>
      </c>
      <c r="EP46" s="88" t="str">
        <f t="shared" ref="EP46" si="1733">IF(K45="Hybrid - Thrust + 2 connections",IF(COUNTIF($EK45:$FN45,EP45)&gt;1,EP45,""),IF(COUNTIF($EK45:$FN45,EP45)&gt;5,EP45,""))</f>
        <v/>
      </c>
      <c r="EQ46" s="88" t="str">
        <f t="shared" ref="EQ46" si="1734">IF(L45="Hybrid - Thrust + 2 connections",IF(COUNTIF($EK45:$FN45,EQ45)&gt;1,EQ45,""),IF(COUNTIF($EK45:$FN45,EQ45)&gt;5,EQ45,""))</f>
        <v/>
      </c>
      <c r="ER46" s="88" t="str">
        <f t="shared" ref="ER46" si="1735">IF(M45="Hybrid - Thrust + 2 connections",IF(COUNTIF($EK45:$FN45,ER45)&gt;1,ER45,""),IF(COUNTIF($EK45:$FN45,ER45)&gt;5,ER45,""))</f>
        <v/>
      </c>
      <c r="ES46" s="88" t="str">
        <f t="shared" ref="ES46" si="1736">IF(N45="Hybrid - Thrust + 2 connections",IF(COUNTIF($EK45:$FN45,ES45)&gt;1,ES45,""),IF(COUNTIF($EK45:$FN45,ES45)&gt;5,ES45,""))</f>
        <v/>
      </c>
      <c r="ET46" s="88" t="str">
        <f t="shared" ref="ET46" si="1737">IF(O45="Hybrid - Thrust + 2 connections",IF(COUNTIF($EK45:$FN45,ET45)&gt;1,ET45,""),IF(COUNTIF($EK45:$FN45,ET45)&gt;5,ET45,""))</f>
        <v/>
      </c>
      <c r="EU46" s="88" t="str">
        <f t="shared" ref="EU46" si="1738">IF(P45="Hybrid - Thrust + 2 connections",IF(COUNTIF($EK45:$FN45,EU45)&gt;1,EU45,""),IF(COUNTIF($EK45:$FN45,EU45)&gt;5,EU45,""))</f>
        <v/>
      </c>
      <c r="EV46" s="88" t="str">
        <f t="shared" ref="EV46" si="1739">IF(Q45="Hybrid - Thrust + 2 connections",IF(COUNTIF($EK45:$FN45,EV45)&gt;1,EV45,""),IF(COUNTIF($EK45:$FN45,EV45)&gt;5,EV45,""))</f>
        <v/>
      </c>
      <c r="EW46" s="88" t="str">
        <f t="shared" ref="EW46" si="1740">IF(R45="Hybrid - Thrust + 2 connections",IF(COUNTIF($EK45:$FN45,EW45)&gt;1,EW45,""),IF(COUNTIF($EK45:$FN45,EW45)&gt;5,EW45,""))</f>
        <v/>
      </c>
      <c r="EX46" s="88" t="str">
        <f t="shared" ref="EX46" si="1741">IF(S45="Hybrid - Thrust + 2 connections",IF(COUNTIF($EK45:$FN45,EX45)&gt;1,EX45,""),IF(COUNTIF($EK45:$FN45,EX45)&gt;5,EX45,""))</f>
        <v/>
      </c>
      <c r="EY46" s="88" t="str">
        <f t="shared" ref="EY46" si="1742">IF(T45="Hybrid - Thrust + 2 connections",IF(COUNTIF($EK45:$FN45,EY45)&gt;1,EY45,""),IF(COUNTIF($EK45:$FN45,EY45)&gt;5,EY45,""))</f>
        <v/>
      </c>
      <c r="EZ46" s="88" t="str">
        <f t="shared" ref="EZ46" si="1743">IF(U45="Hybrid - Thrust + 2 connections",IF(COUNTIF($EK45:$FN45,EZ45)&gt;1,EZ45,""),IF(COUNTIF($EK45:$FN45,EZ45)&gt;5,EZ45,""))</f>
        <v/>
      </c>
      <c r="FA46" s="88" t="str">
        <f t="shared" ref="FA46" si="1744">IF(V45="Hybrid - Thrust + 2 connections",IF(COUNTIF($EK45:$FN45,FA45)&gt;1,FA45,""),IF(COUNTIF($EK45:$FN45,FA45)&gt;5,FA45,""))</f>
        <v/>
      </c>
      <c r="FB46" s="88" t="str">
        <f t="shared" ref="FB46" si="1745">IF(W45="Hybrid - Thrust + 2 connections",IF(COUNTIF($EK45:$FN45,FB45)&gt;1,FB45,""),IF(COUNTIF($EK45:$FN45,FB45)&gt;5,FB45,""))</f>
        <v/>
      </c>
      <c r="FC46" s="88" t="str">
        <f t="shared" ref="FC46" si="1746">IF(X45="Hybrid - Thrust + 2 connections",IF(COUNTIF($EK45:$FN45,FC45)&gt;1,FC45,""),IF(COUNTIF($EK45:$FN45,FC45)&gt;5,FC45,""))</f>
        <v/>
      </c>
      <c r="FD46" s="88" t="str">
        <f t="shared" ref="FD46" si="1747">IF(Y45="Hybrid - Thrust + 2 connections",IF(COUNTIF($EK45:$FN45,FD45)&gt;1,FD45,""),IF(COUNTIF($EK45:$FN45,FD45)&gt;5,FD45,""))</f>
        <v/>
      </c>
      <c r="FE46" s="88" t="str">
        <f t="shared" ref="FE46" si="1748">IF(Z45="Hybrid - Thrust + 2 connections",IF(COUNTIF($EK45:$FN45,FE45)&gt;1,FE45,""),IF(COUNTIF($EK45:$FN45,FE45)&gt;5,FE45,""))</f>
        <v/>
      </c>
      <c r="FF46" s="88" t="str">
        <f t="shared" ref="FF46" si="1749">IF(AA45="Hybrid - Thrust + 2 connections",IF(COUNTIF($EK45:$FN45,FF45)&gt;1,FF45,""),IF(COUNTIF($EK45:$FN45,FF45)&gt;5,FF45,""))</f>
        <v/>
      </c>
      <c r="FG46" s="88" t="str">
        <f t="shared" ref="FG46" si="1750">IF(AB45="Hybrid - Thrust + 2 connections",IF(COUNTIF($EK45:$FN45,FG45)&gt;1,FG45,""),IF(COUNTIF($EK45:$FN45,FG45)&gt;5,FG45,""))</f>
        <v/>
      </c>
      <c r="FH46" s="88" t="str">
        <f t="shared" ref="FH46" si="1751">IF(AC45="Hybrid - Thrust + 2 connections",IF(COUNTIF($EK45:$FN45,FH45)&gt;1,FH45,""),IF(COUNTIF($EK45:$FN45,FH45)&gt;5,FH45,""))</f>
        <v/>
      </c>
      <c r="FI46" s="88" t="str">
        <f t="shared" ref="FI46" si="1752">IF(AD45="Hybrid - Thrust + 2 connections",IF(COUNTIF($EK45:$FN45,FI45)&gt;1,FI45,""),IF(COUNTIF($EK45:$FN45,FI45)&gt;5,FI45,""))</f>
        <v/>
      </c>
      <c r="FJ46" s="88" t="str">
        <f t="shared" ref="FJ46" si="1753">IF(AE45="Hybrid - Thrust + 2 connections",IF(COUNTIF($EK45:$FN45,FJ45)&gt;1,FJ45,""),IF(COUNTIF($EK45:$FN45,FJ45)&gt;5,FJ45,""))</f>
        <v/>
      </c>
      <c r="FK46" s="88" t="str">
        <f t="shared" ref="FK46" si="1754">IF(AF45="Hybrid - Thrust + 2 connections",IF(COUNTIF($EK45:$FN45,FK45)&gt;1,FK45,""),IF(COUNTIF($EK45:$FN45,FK45)&gt;5,FK45,""))</f>
        <v/>
      </c>
      <c r="FL46" s="88" t="str">
        <f t="shared" ref="FL46" si="1755">IF(AG45="Hybrid - Thrust + 2 connections",IF(COUNTIF($EK45:$FN45,FL45)&gt;1,FL45,""),IF(COUNTIF($EK45:$FN45,FL45)&gt;5,FL45,""))</f>
        <v/>
      </c>
      <c r="FM46" s="88" t="str">
        <f t="shared" ref="FM46" si="1756">IF(AH45="Hybrid - Thrust + 2 connections",IF(COUNTIF($EK45:$FN45,FM45)&gt;1,FM45,""),IF(COUNTIF($EK45:$FN45,FM45)&gt;5,FM45,""))</f>
        <v/>
      </c>
      <c r="FN46" s="88" t="str">
        <f t="shared" ref="FN46" si="1757">IF(AI45="Hybrid - Thrust + 2 connections",IF(COUNTIF($EK45:$FN45,FN45)&gt;1,FN45,""),IF(COUNTIF($EK45:$FN45,FN45)&gt;5,FN45,""))</f>
        <v/>
      </c>
      <c r="FO46" s="88">
        <f t="shared" ref="FO46" si="1758">FO44+5</f>
        <v>65</v>
      </c>
      <c r="FP46" s="88" t="str" cm="1">
        <f t="array" ref="FP46">IF(FQ46&lt;&gt;"",LEFT(FQ46,FIND("*",FQ46)-1),INDEX($FP$75:$FP$172,FO46+1))</f>
        <v/>
      </c>
      <c r="FQ46" s="88" t="str" cm="1">
        <f t="array" ref="FQ46">INDEX($FQ$75:$FQ$172,FO46+1)</f>
        <v/>
      </c>
      <c r="FR46" s="285"/>
      <c r="FS46" s="285"/>
      <c r="FT46" s="285"/>
      <c r="FU46" s="285"/>
      <c r="FV46" s="285"/>
      <c r="FW46" s="285"/>
      <c r="FX46" s="285"/>
      <c r="FY46" s="285"/>
      <c r="FZ46" s="285"/>
      <c r="GA46" s="285"/>
      <c r="GB46" s="285"/>
      <c r="GC46" s="285"/>
      <c r="GD46" s="285"/>
      <c r="GE46" s="285"/>
      <c r="GF46" s="285"/>
      <c r="GG46" s="285"/>
      <c r="GH46" s="285"/>
      <c r="GI46" s="285"/>
      <c r="GJ46" s="285"/>
      <c r="GK46" s="285"/>
      <c r="GL46" s="285"/>
      <c r="GM46" s="285"/>
      <c r="GN46" s="285"/>
      <c r="GO46" s="285"/>
      <c r="GP46" s="285"/>
      <c r="GQ46" s="285"/>
      <c r="GR46" s="285"/>
      <c r="GS46" s="285"/>
      <c r="GT46" s="285"/>
      <c r="GU46" s="285"/>
      <c r="GV46" s="88"/>
      <c r="GW46" s="88"/>
      <c r="GX46" s="88"/>
      <c r="GY46" s="88"/>
      <c r="GZ46" s="88"/>
      <c r="HA46" s="88"/>
      <c r="HB46" s="88"/>
      <c r="HC46" s="88"/>
      <c r="HD46" s="88" t="str">
        <f>IF($F45="Hybrid - Thrust + 2 connections",COUNTBLANK(J45:L45),"")</f>
        <v/>
      </c>
      <c r="HE46" s="88"/>
      <c r="HF46" s="91"/>
      <c r="HG46" s="91"/>
      <c r="HH46" s="91"/>
      <c r="HI46" s="91"/>
    </row>
    <row r="47" spans="1:222" ht="12.75" customHeight="1" x14ac:dyDescent="0.35">
      <c r="A47" s="28" t="str">
        <f>IF(AND(E45="",A45&lt;&gt;""),IF(CP45=$CP$18,"",IF(C45&lt;&gt;"",IF(D45=59,MINUTE(CP45)+1,MINUTE(CP45)),"")),"")</f>
        <v/>
      </c>
      <c r="B47" s="29" t="str">
        <f>IF(AND(E45="",B45&lt;&gt;""),IF(CP45=$CP$18,"",IF(C45&lt;&gt;"",IF(D45=59,0,SECOND(CP45)+1),"")),"")</f>
        <v/>
      </c>
      <c r="C47" s="39"/>
      <c r="D47" s="39"/>
      <c r="E47" s="9"/>
      <c r="F47" s="40"/>
      <c r="G47" s="31" t="str">
        <f>IF(F47&lt;&gt;"",IF(OR(F47="Transition",F47="Transition - Surface Connection"),0,MAX($G$19:G46)+1),"")</f>
        <v/>
      </c>
      <c r="H47" s="43" t="str">
        <f>IFERROR(IF(E48="3","",IF(OR(F47="Hybrid - Choreography (DD = 1)",LEFT(F47,5)="Trans"),"No DD",CONCATENATE("BM = ",I48))),"")</f>
        <v/>
      </c>
      <c r="I47" s="44"/>
      <c r="J47" s="109"/>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58"/>
      <c r="AO47" s="32"/>
      <c r="AP47" s="61"/>
      <c r="AQ47" s="61"/>
      <c r="AR47" s="90"/>
      <c r="AS47" s="90"/>
      <c r="AT47" s="90"/>
      <c r="AU47" s="90"/>
      <c r="AV47" s="90"/>
      <c r="AW47" s="91" t="str">
        <f t="shared" ref="AW47" si="1759">E48</f>
        <v/>
      </c>
      <c r="AX47" s="94" t="str">
        <f t="shared" ref="AX47" si="1760">IF(AY47=0,"",TIME(0,A47,B47))</f>
        <v/>
      </c>
      <c r="AY47" s="94">
        <f t="shared" ref="AY47" si="1761">TIME(0,C47,D47)</f>
        <v>0</v>
      </c>
      <c r="AZ47" s="94" t="str">
        <f t="shared" ref="AZ47" si="1762">IFERROR(AY47-AX47,"")</f>
        <v/>
      </c>
      <c r="BA47" s="237" t="str">
        <f t="shared" ref="BA47" si="1763">IF($AX$17=0,"",IF(AND($C$10&lt;&gt;"",AW47="H",AZ47&gt;$AX$17),"X",""))</f>
        <v/>
      </c>
      <c r="BB47" s="90"/>
      <c r="BC47" s="90"/>
      <c r="BD47" s="90"/>
      <c r="BE47" s="90"/>
      <c r="BF47" s="90"/>
      <c r="BG47" s="90" t="str">
        <f>IFERROR(IF(F47&lt;&gt;"",INDEX(Parts_Active,MATCH(F47,Parts_Active,0)),""),"No")</f>
        <v/>
      </c>
      <c r="BH47" s="90"/>
      <c r="BI47" s="90" t="str">
        <f>IF($E48="H",IF($F47="Hybrid - Thrust + 2 connections","Hybrid_Mix_Req",IF($F47="Hybrid - Choreography (DD = 1)","Hybrid_ChoHY","HybridDD_Code")),IF($E48=3,"TreDD_Code",IF($E48="PA","AcroPair_Code",IF(LEFT($F47,4)="Acro",CONCATENATE(BI$16,$E48,"_Code"),"Data!$BI$1:$BI$5"))))</f>
        <v>Data!$BI$1:$BI$5</v>
      </c>
      <c r="BJ47" s="90" t="str">
        <f t="shared" ref="BJ47" si="1764">IF($E48="H",IF($F47="Hybrid - Thrust + 2 connections","Hybrid_Mix_Req",IF($F47="Hybrid - min 4 swimmers (no DD)","Data!$BI$1:$BI$5","HybridDD_Code")),IF($E48=3,"TreDD_Code",IF($E48="PA","AcroPair_Code",IF(LEFT($F47,4)="Acro",CONCATENATE(BJ$16,$E48,"_Code"),"Data!$BI$1:$BI$5"))))</f>
        <v>Data!$BI$1:$BI$5</v>
      </c>
      <c r="BK47" s="90" t="str">
        <f t="shared" si="978"/>
        <v>Data!$BI$1:$BI$5</v>
      </c>
      <c r="BL47" s="90" t="str">
        <f t="shared" si="978"/>
        <v>Data!$BI$1:$BI$5</v>
      </c>
      <c r="BM47" s="90" t="str">
        <f t="shared" si="978"/>
        <v>Data!$BI$1:$BI$5</v>
      </c>
      <c r="BN47" s="90" t="str">
        <f t="shared" si="978"/>
        <v>Data!$BI$1:$BI$5</v>
      </c>
      <c r="BO47" s="90" t="str">
        <f t="shared" si="978"/>
        <v>Data!$BI$1:$BI$5</v>
      </c>
      <c r="BP47" s="90" t="str">
        <f t="shared" si="978"/>
        <v>Data!$BI$1:$BI$5</v>
      </c>
      <c r="BQ47" s="90" t="str">
        <f t="shared" si="978"/>
        <v>Data!$BI$1:$BI$5</v>
      </c>
      <c r="BR47" s="90" t="str">
        <f t="shared" ref="BR47" si="1765">IF($E48="H",IF($F47="Hybrid - Thrust + 2 connections","Data!$BI$1:$BI$5","HybridDD_Code"),"Data!$BI$1:$BI$5")</f>
        <v>Data!$BI$1:$BI$5</v>
      </c>
      <c r="BS47" s="90" t="str">
        <f t="shared" si="445"/>
        <v>Data!$BI$1:$BI$5</v>
      </c>
      <c r="BT47" s="90" t="str">
        <f t="shared" si="445"/>
        <v>Data!$BI$1:$BI$5</v>
      </c>
      <c r="BU47" s="90" t="str">
        <f t="shared" si="445"/>
        <v>Data!$BI$1:$BI$5</v>
      </c>
      <c r="BV47" s="90" t="str">
        <f t="shared" si="445"/>
        <v>Data!$BI$1:$BI$5</v>
      </c>
      <c r="BW47" s="90" t="str">
        <f t="shared" si="445"/>
        <v>Data!$BI$1:$BI$5</v>
      </c>
      <c r="BX47" s="90" t="str">
        <f t="shared" si="445"/>
        <v>Data!$BI$1:$BI$5</v>
      </c>
      <c r="BY47" s="90" t="str">
        <f t="shared" si="445"/>
        <v>Data!$BI$1:$BI$5</v>
      </c>
      <c r="BZ47" s="90" t="str">
        <f t="shared" si="445"/>
        <v>Data!$BI$1:$BI$5</v>
      </c>
      <c r="CA47" s="90" t="str">
        <f t="shared" si="445"/>
        <v>Data!$BI$1:$BI$5</v>
      </c>
      <c r="CB47" s="90" t="str">
        <f t="shared" si="445"/>
        <v>Data!$BI$1:$BI$5</v>
      </c>
      <c r="CC47" s="90" t="str">
        <f t="shared" si="445"/>
        <v>Data!$BI$1:$BI$5</v>
      </c>
      <c r="CD47" s="90" t="str">
        <f t="shared" si="445"/>
        <v>Data!$BI$1:$BI$5</v>
      </c>
      <c r="CE47" s="90" t="str">
        <f t="shared" si="445"/>
        <v>Data!$BI$1:$BI$5</v>
      </c>
      <c r="CF47" s="90" t="str">
        <f t="shared" si="445"/>
        <v>Data!$BI$1:$BI$5</v>
      </c>
      <c r="CG47" s="90" t="str">
        <f t="shared" si="445"/>
        <v>Data!$BI$1:$BI$5</v>
      </c>
      <c r="CH47" s="90" t="str">
        <f t="shared" si="445"/>
        <v>Data!$BI$1:$BI$5</v>
      </c>
      <c r="CI47" s="90" t="str">
        <f t="shared" si="980"/>
        <v>Data!$BI$1:$BI$5</v>
      </c>
      <c r="CJ47" s="90" t="str">
        <f t="shared" si="980"/>
        <v>Data!$BI$1:$BI$5</v>
      </c>
      <c r="CK47" s="90" t="str">
        <f t="shared" si="980"/>
        <v>Data!$BI$1:$BI$5</v>
      </c>
      <c r="CL47" s="90" t="str">
        <f t="shared" si="980"/>
        <v>Data!$BI$1:$BI$5</v>
      </c>
      <c r="CM47" s="90"/>
      <c r="CN47" s="90"/>
      <c r="CO47" s="93" t="str">
        <f>IFERROR(TIME(0,A47,B47),"")</f>
        <v/>
      </c>
      <c r="CP47" s="94">
        <f>IFERROR(TIME(0,C47,D47),"")</f>
        <v>0</v>
      </c>
      <c r="CQ47" s="94" t="str">
        <f t="shared" ref="CQ47" si="1766">IF(CP47&gt;$D$12,"X","")</f>
        <v/>
      </c>
      <c r="CR47" s="88" t="str">
        <f>IF(AND(F47="Hybrid - Thrust + 2 connections",OR(LEFT(J47,1)="T",LEFT(K47,1)="T",LEFT(L47,1)="T",LEFT(PB47,1)="T",LEFT(M47,1)="T",LEFT(N47,1)="T",LEFT(O47,1)="T",LEFT(P47,1)="T",LEFT(Q47,1)="T",LEFT(R47,1)="T",LEFT(S47,1)="T",LEFT(T47,1)="T",LEFT(U47,1)="T",LEFT(V47,1)="T",LEFT(W47,1)="T",LEFT(X47,1)="T",LEFT(AK47,1)="T",LEFT(AL47,1)="T",LEFT(AM47,1)="T")),IF(OR(LEN(J47)=2,LEN(K47)=2,LEN(L47)=2,LEN(M47)=2,LEN(N47)=2,LEN(O47)=2,LEN(P47)=2,LEN(Q47)=2,LEN(R47)=2,LEN(S47)=2,LEN(T47)=2,LEN(U47)=2,LEN(V47)=2,LEN(W47)=2,LEN(X47)=2,LEN(Y47)=2,LEN(Z47)=2,LEN(AK47)=2,LEN(AL47)=2,LEN(AM47)=2),"X",""),"")</f>
        <v/>
      </c>
      <c r="CS47" s="91" t="str">
        <f>IF(F47="Hybrid",SECOND(CP47),"")</f>
        <v/>
      </c>
      <c r="CT47" s="88" t="str">
        <f>IF(LEFT(F47,4)="Acro",IF(AND(N47&lt;&gt;"",M47=RIGHT(N47,2)),"X","OK"),"")</f>
        <v/>
      </c>
      <c r="CU47" s="90" t="str">
        <f t="shared" ref="CU47:DB47" si="1767">IFERROR(IF(AND(LEFT($F47,4)="Acro",INDEX(Requ_App,MATCH(BI47,Requ_Code,0))="No"),"X",""),"")</f>
        <v/>
      </c>
      <c r="CV47" s="90" t="str">
        <f t="shared" si="1767"/>
        <v/>
      </c>
      <c r="CW47" s="90" t="str">
        <f t="shared" si="1767"/>
        <v/>
      </c>
      <c r="CX47" s="90" t="str">
        <f t="shared" si="1767"/>
        <v/>
      </c>
      <c r="CY47" s="90" t="str">
        <f t="shared" si="1767"/>
        <v/>
      </c>
      <c r="CZ47" s="90" t="str">
        <f t="shared" si="1767"/>
        <v/>
      </c>
      <c r="DA47" s="90" t="str">
        <f t="shared" si="1767"/>
        <v/>
      </c>
      <c r="DB47" s="90" t="str">
        <f t="shared" si="1767"/>
        <v/>
      </c>
      <c r="DC47" s="90" t="str">
        <f>IFERROR(IF(AND(LEFT($F47,4)="Acro",INDEX(Requ_App,MATCH(BP47,Requ_Code,0))="No"),"X",""),"")</f>
        <v/>
      </c>
      <c r="DD47" s="88" t="str">
        <f t="shared" si="10"/>
        <v/>
      </c>
      <c r="DE47" s="88" t="str">
        <f t="shared" si="11"/>
        <v/>
      </c>
      <c r="DF47" s="88" t="str">
        <f t="shared" si="12"/>
        <v/>
      </c>
      <c r="DG47" s="88" t="str">
        <f t="shared" si="13"/>
        <v/>
      </c>
      <c r="DK47" s="88">
        <f t="shared" ref="DK47" si="1768">IF(AND(E48="A",OR(Q47="Grip",Q47="Conn",Q47="Catch")),"A1",IF(AND(E48="A",OR(Q47="Hula",Q47="RetSq",Q47="RetPa")),"A2",IF(AND(E48="B",OR(Q47="Twirl",Q47="RotF")),"B1",IF(AND(E48="B",OR(Q47="Moon",Q47="Mov",Q47="Hold")),"B2",IF(AND(E48="P",OR(Q47="Porp",Q47="Splch")),"P1",IF(AND(E48="P",OR(Q47="Diva",Q47="Stand")),"P2",IF(AND(E48="P",OR(Q47="Spider",Q47="Climb")),"P3",IF(AND(E48="P",OR(Q47="Fall",Q47="FTurn")),"P4",IF(AND(E48="C",OR(Q47="Jump",Q47="Jump&gt;",Q47="On1Foot",Q47="1F&gt;1F")),"C1",IF(AND(E48="C",OR(Q47="Run",Q47="BRun")),"C2",1))))))))))</f>
        <v>1</v>
      </c>
      <c r="DL47" s="88">
        <f t="shared" ref="DL47" si="1769">IF(AND(E48="A",OR(R47="Grip",R47="Conn",R47="Catch")),"A1",IF(AND(E48="A",OR(R47="Hula",R47="RetSq",R47="RetPa")),"A2",IF(AND(E48="B",OR(R47="Twirl",R47="RotF")),"B1",IF(AND(E48="B",OR(R47="Moon",R47="Mov",R47="Hold")),"B2",IF(AND(E48="P",OR(R47="Porp",R47="Spich")),"P1",IF(AND(E48="P",OR(R47="Diva",R47="Stand")),"P2",IF(AND(E48="P",OR(R47="Spider",R47="Climb")),"P3",IF(AND(E48="P",OR(R47="Fall",R47="FTurn")),"P4",IF(AND(E48="C",OR(R47="Jump",R47="Jump&gt;",R47="On1Foot",R47="1F&gt;1F")),"C1",IF(AND(E48="C",OR(R47="Run",R47="BRun")),"C2",2))))))))))</f>
        <v>2</v>
      </c>
      <c r="DM47" s="88" t="str">
        <f t="shared" ref="DM47" si="1770">IF(AND(N47="",OR(Q47&lt;&gt;"",R47&lt;&gt;"")),"X",IF(AND(LEFT(F47,4)="Acro",Q47&lt;&gt;"",OR(Q47=R47,DK47=DL47)),IF(R47="C-Roll","","X"),IF(OR(AND(E48="A",Q47="Catch",R47&lt;&gt;"Dbl"),AND(E48="A",R47="Catch",Q47&lt;&gt;"Dbl")),"X","")))</f>
        <v/>
      </c>
      <c r="DN47" s="88" t="str">
        <f>IF(E48="PA",J47,"")</f>
        <v/>
      </c>
      <c r="DO47" s="88">
        <v>29</v>
      </c>
      <c r="DQ47" s="88" t="str">
        <f>IF(AND($E48="A",COUNTIF($DZ$19:$EA$68,DZ47)&gt;1),DZ47,"")</f>
        <v/>
      </c>
      <c r="DR47" s="88" t="str">
        <f>IF(AND($E48="A",COUNTIF($DZ$19:$EA$68,EA47)&gt;1),EA47,"")</f>
        <v/>
      </c>
      <c r="DS47" s="88" t="str">
        <f ca="1">IF(AND($E48="B",COUNTIF($J$19:$J$68,J47)&gt;1),J47,"")</f>
        <v/>
      </c>
      <c r="DT47" s="88" t="str">
        <f ca="1">IF(AND($E48="B",COUNTIF($K$19:$K$68,K47)&gt;1),K47,"")</f>
        <v/>
      </c>
      <c r="DU47" s="88" t="str">
        <f ca="1">IF(AND($E48="C",COUNTIF($J$19:$J$68,J47)&gt;1),J47,"")</f>
        <v/>
      </c>
      <c r="DV47" s="88" t="str">
        <f ca="1">IF(AND($E48="P",COUNTIF($J$19:$J$68,J47)&gt;1),J47,"")</f>
        <v/>
      </c>
      <c r="DW47" s="88" t="str">
        <f ca="1">IF(AND($E48="P",COUNTIF($K$19:$K$68,K47)&gt;1),K47,"")</f>
        <v/>
      </c>
      <c r="DX47" s="88" t="str">
        <f>IF(AND($E48="P",COUNTIF($DZ$19:$EA$68,DZ47)&gt;1),DZ47,"")</f>
        <v/>
      </c>
      <c r="DY47" s="88" t="str">
        <f>IF(AND($E48="P",COUNTIF($DZ$19:$EA$68,EA47)&gt;1),EA47,"")</f>
        <v/>
      </c>
      <c r="DZ47" s="88" t="str">
        <f>IFERROR(IF(OR(E48="A",E48="P"),M47,""),"")</f>
        <v/>
      </c>
      <c r="EA47" s="88" t="str">
        <f>IFERROR(IF(OR(E48="A",E48="P"),RIGHT(N47,2),""),"")</f>
        <v/>
      </c>
      <c r="EB47" s="88" t="str">
        <f t="shared" ref="EB47" si="1771">IF(Q47="","",IF(AND($E48="P",COUNTIF($Q$19:$R$68,Q47)&gt;1),Q47,""))</f>
        <v/>
      </c>
      <c r="EC47" s="88" t="str">
        <f t="shared" ref="EC47" si="1772">IF(R47="","",IF(AND($E48="P",COUNTIF($Q$19:$R$68,R47)&gt;1),R47,""))</f>
        <v/>
      </c>
      <c r="ED47" s="88" t="str">
        <f t="shared" si="14"/>
        <v/>
      </c>
      <c r="EE47" s="88" t="str">
        <f t="shared" si="15"/>
        <v/>
      </c>
      <c r="EF47" s="88" t="str">
        <f t="shared" ref="EF47" si="1773">IF(AND(OR($F$8="Open Team Acrobatic",$F$8="Open Team Technical"),LEFT(F47,4)="Acro"),E48,"")</f>
        <v/>
      </c>
      <c r="EG47" s="88" t="str">
        <f t="shared" ref="EG47" si="1774">IF(EF47="","",IFERROR(IF($F$8="Open Team Acrobatic",IF(HLOOKUP(EF47,$DQ$12:$DT$13,2,FALSE)&gt;2,"X",""),IF(HLOOKUP(EF47,$DQ$12:$DT$13,2,FALSE)&gt;1,"X","")),""))</f>
        <v/>
      </c>
      <c r="EI47" s="88" t="str">
        <f t="shared" ref="EI47" si="1775">IF(OR(AND(F47="Hybrid - Thrust + 2 connections",EI48="T"),AND(E48="H",EI48&lt;&gt;"",EI101="X")),"X","")</f>
        <v/>
      </c>
      <c r="EK47" s="88">
        <f t="shared" ref="EK47" si="1776">IFERROR(IF(AND($E48="H",J47&lt;&gt;"",J47&lt;&gt;"ChoHY"),IF(OR(LEFT(J47,1)="T",LEFT(J47,1)="S",LEFT(J47,1)="A",LEFT(J47,1)="F",LEFT(J47,1)="C"),LEFT(J47,1),"R"),EK$18),"")</f>
        <v>1</v>
      </c>
      <c r="EL47" s="88">
        <f t="shared" ref="EL47" si="1777">IFERROR(IF(AND($E48="H",K47&lt;&gt;""),IF(OR(LEFT(K47,1)="T",LEFT(K47,1)="S",LEFT(K47,1)="A",LEFT(K47,1)="F",LEFT(K47,1)="C"),LEFT(K47,1),"R"),EL$18),"")</f>
        <v>2</v>
      </c>
      <c r="EM47" s="88">
        <f t="shared" ref="EM47" si="1778">IFERROR(IF(AND($E48="H",L47&lt;&gt;""),IF(OR(LEFT(L47,1)="T",LEFT(L47,1)="S",LEFT(L47,1)="A",LEFT(L47,1)="F",LEFT(L47,1)="C"),LEFT(L47,1),"R"),EM$18),"")</f>
        <v>3</v>
      </c>
      <c r="EN47" s="88">
        <f t="shared" ref="EN47" si="1779">IFERROR(IF(AND($E48="H",M47&lt;&gt;""),IF(OR(LEFT(M47,1)="T",LEFT(M47,1)="S",LEFT(M47,1)="A",LEFT(M47,1)="F",LEFT(M47,1)="C"),LEFT(M47,1),"R"),EN$18),"")</f>
        <v>4</v>
      </c>
      <c r="EO47" s="88">
        <f t="shared" ref="EO47" si="1780">IFERROR(IF(AND($E48="H",N47&lt;&gt;""),IF(OR(LEFT(N47,1)="T",LEFT(N47,1)="S",LEFT(N47,1)="A",LEFT(N47,1)="F",LEFT(N47,1)="C"),LEFT(N47,1),"R"),EO$18),"")</f>
        <v>5</v>
      </c>
      <c r="EP47" s="88">
        <f t="shared" ref="EP47" si="1781">IFERROR(IF(AND($E48="H",O47&lt;&gt;""),IF(OR(LEFT(O47,1)="T",LEFT(O47,1)="S",LEFT(O47,1)="A",LEFT(O47,1)="F",LEFT(O47,1)="C"),LEFT(O47,1),"R"),EP$18),"")</f>
        <v>6</v>
      </c>
      <c r="EQ47" s="88">
        <f t="shared" ref="EQ47" si="1782">IFERROR(IF(AND($E48="H",P47&lt;&gt;""),IF(OR(LEFT(P47,1)="T",LEFT(P47,1)="S",LEFT(P47,1)="A",LEFT(P47,1)="F",LEFT(P47,1)="C"),LEFT(P47,1),"R"),EQ$18),"")</f>
        <v>7</v>
      </c>
      <c r="ER47" s="88">
        <f t="shared" ref="ER47" si="1783">IFERROR(IF(AND($E48="H",Q47&lt;&gt;""),IF(OR(LEFT(Q47,1)="T",LEFT(Q47,1)="S",LEFT(Q47,1)="A",LEFT(Q47,1)="F",LEFT(Q47,1)="C"),LEFT(Q47,1),"R"),ER$18),"")</f>
        <v>8</v>
      </c>
      <c r="ES47" s="88">
        <f t="shared" ref="ES47" si="1784">IFERROR(IF(AND($E48="H",R47&lt;&gt;""),IF(OR(LEFT(R47,1)="T",LEFT(R47,1)="S",LEFT(R47,1)="A",LEFT(R47,1)="F",LEFT(R47,1)="C"),LEFT(R47,1),"R"),ES$18),"")</f>
        <v>9</v>
      </c>
      <c r="ET47" s="88">
        <f t="shared" ref="ET47" si="1785">IFERROR(IF(AND($E48="H",S47&lt;&gt;""),IF(OR(LEFT(S47,1)="T",LEFT(S47,1)="S",LEFT(S47,1)="A",LEFT(S47,1)="F",LEFT(S47,1)="C"),LEFT(S47,1),"R"),ET$18),"")</f>
        <v>10</v>
      </c>
      <c r="EU47" s="88">
        <f t="shared" ref="EU47" si="1786">IFERROR(IF(AND($E48="H",T47&lt;&gt;""),IF(OR(LEFT(T47,1)="T",LEFT(T47,1)="S",LEFT(T47,1)="A",LEFT(T47,1)="F",LEFT(T47,1)="C"),LEFT(T47,1),"R"),EU$18),"")</f>
        <v>11</v>
      </c>
      <c r="EV47" s="88">
        <f t="shared" ref="EV47" si="1787">IFERROR(IF(AND($E48="H",U47&lt;&gt;""),IF(OR(LEFT(U47,1)="T",LEFT(U47,1)="S",LEFT(U47,1)="A",LEFT(U47,1)="F",LEFT(U47,1)="C"),LEFT(U47,1),"R"),EV$18),"")</f>
        <v>12</v>
      </c>
      <c r="EW47" s="88">
        <f t="shared" ref="EW47" si="1788">IFERROR(IF(AND($E48="H",V47&lt;&gt;""),IF(OR(LEFT(V47,1)="T",LEFT(V47,1)="S",LEFT(V47,1)="A",LEFT(V47,1)="F",LEFT(V47,1)="C"),LEFT(V47,1),"R"),EW$18),"")</f>
        <v>13</v>
      </c>
      <c r="EX47" s="88">
        <f t="shared" ref="EX47" si="1789">IFERROR(IF(AND($E48="H",W47&lt;&gt;""),IF(OR(LEFT(W47,1)="T",LEFT(W47,1)="S",LEFT(W47,1)="A",LEFT(W47,1)="F",LEFT(W47,1)="C"),LEFT(W47,1),"R"),EX$18),"")</f>
        <v>14</v>
      </c>
      <c r="EY47" s="88">
        <f t="shared" ref="EY47" si="1790">IFERROR(IF(AND($E48="H",X47&lt;&gt;""),IF(OR(LEFT(X47,1)="T",LEFT(X47,1)="S",LEFT(X47,1)="A",LEFT(X47,1)="F",LEFT(X47,1)="C"),LEFT(X47,1),"R"),EY$18),"")</f>
        <v>15</v>
      </c>
      <c r="EZ47" s="88">
        <f t="shared" ref="EZ47" si="1791">IFERROR(IF(AND($E48="H",Y47&lt;&gt;""),IF(OR(LEFT(Y47,1)="T",LEFT(Y47,1)="S",LEFT(Y47,1)="A",LEFT(Y47,1)="F",LEFT(Y47,1)="C"),LEFT(Y47,1),"R"),EZ$18),"")</f>
        <v>16</v>
      </c>
      <c r="FA47" s="88">
        <f t="shared" ref="FA47" si="1792">IFERROR(IF(AND($E48="H",Z47&lt;&gt;""),IF(OR(LEFT(Z47,1)="T",LEFT(Z47,1)="S",LEFT(Z47,1)="A",LEFT(Z47,1)="F",LEFT(Z47,1)="C"),LEFT(Z47,1),"R"),FA$18),"")</f>
        <v>17</v>
      </c>
      <c r="FB47" s="88">
        <f t="shared" ref="FB47" si="1793">IFERROR(IF(AND($E48="H",AA47&lt;&gt;""),IF(OR(LEFT(AA47,1)="T",LEFT(AA47,1)="S",LEFT(AA47,1)="A",LEFT(AA47,1)="F",LEFT(AA47,1)="C"),LEFT(AA47,1),"R"),FB$18),"")</f>
        <v>18</v>
      </c>
      <c r="FC47" s="88">
        <f t="shared" ref="FC47" si="1794">IFERROR(IF(AND($E48="H",AB47&lt;&gt;""),IF(OR(LEFT(AB47,1)="T",LEFT(AB47,1)="S",LEFT(AB47,1)="A",LEFT(AB47,1)="F",LEFT(AB47,1)="C"),LEFT(AB47,1),"R"),FC$18),"")</f>
        <v>19</v>
      </c>
      <c r="FD47" s="88">
        <f t="shared" ref="FD47" si="1795">IFERROR(IF(AND($E48="H",AC47&lt;&gt;""),IF(OR(LEFT(AC47,1)="T",LEFT(AC47,1)="S",LEFT(AC47,1)="A",LEFT(AC47,1)="F",LEFT(AC47,1)="C"),LEFT(AC47,1),"R"),FD$18),"")</f>
        <v>20</v>
      </c>
      <c r="FE47" s="88">
        <f t="shared" ref="FE47" si="1796">IFERROR(IF(AND($E48="H",AD47&lt;&gt;""),IF(OR(LEFT(AD47,1)="T",LEFT(AD47,1)="S",LEFT(AD47,1)="A",LEFT(AD47,1)="F",LEFT(AD47,1)="C"),LEFT(AD47,1),"R"),FE$18),"")</f>
        <v>21</v>
      </c>
      <c r="FF47" s="88">
        <f t="shared" ref="FF47" si="1797">IFERROR(IF(AND($E48="H",AE47&lt;&gt;""),IF(OR(LEFT(AE47,1)="T",LEFT(AE47,1)="S",LEFT(AE47,1)="A",LEFT(AE47,1)="F",LEFT(AE47,1)="C"),LEFT(AE47,1),"R"),FF$18),"")</f>
        <v>22</v>
      </c>
      <c r="FG47" s="88">
        <f t="shared" ref="FG47" si="1798">IFERROR(IF(AND($E48="H",AF47&lt;&gt;""),IF(OR(LEFT(AF47,1)="T",LEFT(AF47,1)="S",LEFT(AF47,1)="A",LEFT(AF47,1)="F",LEFT(AF47,1)="C"),LEFT(AF47,1),"R"),FG$18),"")</f>
        <v>23</v>
      </c>
      <c r="FH47" s="88">
        <f t="shared" ref="FH47" si="1799">IFERROR(IF(AND($E48="H",AG47&lt;&gt;""),IF(OR(LEFT(AG47,1)="T",LEFT(AG47,1)="S",LEFT(AG47,1)="A",LEFT(AG47,1)="F",LEFT(AG47,1)="C"),LEFT(AG47,1),"R"),FH$18),"")</f>
        <v>24</v>
      </c>
      <c r="FI47" s="88">
        <f t="shared" ref="FI47" si="1800">IFERROR(IF(AND($E48="H",AH47&lt;&gt;""),IF(OR(LEFT(AH47,1)="T",LEFT(AH47,1)="S",LEFT(AH47,1)="A",LEFT(AH47,1)="F",LEFT(AH47,1)="C"),LEFT(AH47,1),"R"),FI$18),"")</f>
        <v>25</v>
      </c>
      <c r="FJ47" s="88">
        <f t="shared" ref="FJ47" si="1801">IFERROR(IF(AND($E48="H",AI47&lt;&gt;""),IF(OR(LEFT(AI47,1)="T",LEFT(AI47,1)="S",LEFT(AI47,1)="A",LEFT(AI47,1)="F",LEFT(AI47,1)="C"),LEFT(AI47,1),"R"),FJ$18),"")</f>
        <v>26</v>
      </c>
      <c r="FK47" s="88">
        <f t="shared" ref="FK47" si="1802">IFERROR(IF(AND($E48="H",AJ47&lt;&gt;""),IF(OR(LEFT(AJ47,1)="T",LEFT(AJ47,1)="S",LEFT(AJ47,1)="A",LEFT(AJ47,1)="F",LEFT(AJ47,1)="C"),LEFT(AJ47,1),"R"),FK$18),"")</f>
        <v>27</v>
      </c>
      <c r="FL47" s="88">
        <f t="shared" ref="FL47" si="1803">IFERROR(IF(AND($E48="H",AK47&lt;&gt;""),IF(OR(LEFT(AK47,1)="T",LEFT(AK47,1)="S",LEFT(AK47,1)="A",LEFT(AK47,1)="F",LEFT(AK47,1)="C"),LEFT(AK47,1),"R"),FL$18),"")</f>
        <v>28</v>
      </c>
      <c r="FM47" s="88">
        <f t="shared" ref="FM47" si="1804">IFERROR(IF(AND($E48="H",AL47&lt;&gt;""),IF(OR(LEFT(AL47,1)="T",LEFT(AL47,1)="S",LEFT(AL47,1)="A",LEFT(AL47,1)="F",LEFT(AL47,1)="C"),LEFT(AL47,1),"R"),FM$18),"")</f>
        <v>29</v>
      </c>
      <c r="FN47" s="88">
        <f t="shared" ref="FN47" si="1805">IFERROR(IF(AND($E48="H",AM47&lt;&gt;""),IF(OR(LEFT(AM47,1)="T",LEFT(AM47,1)="S",LEFT(AM47,1)="A",LEFT(AM47,1)="F",LEFT(AM47,1)="C"),LEFT(AM47,1),"R"),FN$18),"")</f>
        <v>30</v>
      </c>
      <c r="FO47" s="88"/>
      <c r="FP47" s="88"/>
      <c r="FQ47" s="88"/>
      <c r="FR47" s="285"/>
      <c r="FS47" s="285"/>
      <c r="FT47" s="285"/>
      <c r="FU47" s="285"/>
      <c r="FV47" s="285"/>
      <c r="FW47" s="285"/>
      <c r="FX47" s="285"/>
      <c r="FY47" s="285"/>
      <c r="FZ47" s="285"/>
      <c r="GA47" s="285"/>
      <c r="GB47" s="285"/>
      <c r="GC47" s="285"/>
      <c r="GD47" s="285"/>
      <c r="GE47" s="285"/>
      <c r="GF47" s="285"/>
      <c r="GG47" s="285"/>
      <c r="GH47" s="285"/>
      <c r="GI47" s="285"/>
      <c r="GJ47" s="285"/>
      <c r="GK47" s="285"/>
      <c r="GL47" s="285"/>
      <c r="GM47" s="285"/>
      <c r="GN47" s="285"/>
      <c r="GO47" s="285"/>
      <c r="GP47" s="285"/>
      <c r="GQ47" s="285"/>
      <c r="GR47" s="285"/>
      <c r="GS47" s="285"/>
      <c r="GT47" s="285"/>
      <c r="GU47" s="285"/>
      <c r="GV47" s="88"/>
      <c r="GW47" s="88">
        <f t="shared" ref="GW47" si="1806">COUNTIF($EK47:$FN47,GW$18)</f>
        <v>0</v>
      </c>
      <c r="GX47" s="88">
        <f t="shared" si="1021"/>
        <v>0</v>
      </c>
      <c r="GY47" s="88">
        <f t="shared" si="1021"/>
        <v>0</v>
      </c>
      <c r="GZ47" s="88">
        <f t="shared" si="1021"/>
        <v>0</v>
      </c>
      <c r="HA47" s="88">
        <f t="shared" si="1021"/>
        <v>0</v>
      </c>
      <c r="HB47" s="88">
        <f t="shared" si="1021"/>
        <v>0</v>
      </c>
      <c r="HC47" s="88"/>
      <c r="HD47" s="88" t="str">
        <f t="shared" ref="HD47" si="1807">IF(AND($F47="Hybrid - Thrust + 2 connections",HD48=0,LEFT($J47,1)="C",LEFT($K47,1)="C",LEFT($L47,1)="C"),"X","")</f>
        <v/>
      </c>
      <c r="HE47" s="88"/>
      <c r="HF47" s="91"/>
      <c r="HG47" s="100"/>
      <c r="HH47" s="100"/>
      <c r="HI47" s="91" t="str">
        <f t="shared" ref="HI47" si="1808">IF(E48=3,IF(_xlfn.NUMBERVALUE(LEFT(J47,1))&gt;0,_xlfn.NUMBERVALUE(LEFT(J47,1)),""),"")</f>
        <v/>
      </c>
      <c r="HK47" s="91" t="str">
        <f t="shared" ref="HK47" si="1809">IF(OR(E48="B",E48="P"),E48,"")</f>
        <v/>
      </c>
      <c r="HL47" s="91" t="str">
        <f>IF(AND(J47&lt;&gt;"",HK47&lt;&gt;""),IF(HK47="B",MATCH(J47,AcroDD!$U$3:$AE$3,0),MATCH(J47,AcroDD!$U$30:$AC$30,0)),"")</f>
        <v/>
      </c>
      <c r="HM47" s="91" t="str">
        <f t="shared" ref="HM47" si="1810">IF(AND(K47&lt;&gt;"",HK47&lt;&gt;""),K47,"")</f>
        <v/>
      </c>
      <c r="HN47" s="91" t="str">
        <f>_xlfn.LET(_xlpm.lista,IF(HK47="B",INDEX(AcroDD!$T$4:$AE$23,0,HL47+1),INDEX(AcroDD!$T$31:$AC$50,0,HL47+1)),IF(AND(OR(HK47="B",HK47="P"),HL47&lt;&gt;"",HM47&lt;&gt;""),IF(ISNUMBER(MATCH(HM47,_xlpm.lista,0)),"OK","X"),""))</f>
        <v/>
      </c>
    </row>
    <row r="48" spans="1:222" ht="12.75" customHeight="1" x14ac:dyDescent="0.35">
      <c r="A48" s="28"/>
      <c r="B48" s="29"/>
      <c r="C48" s="29"/>
      <c r="D48" s="29"/>
      <c r="E48" s="17" t="str">
        <f t="shared" ref="E48" si="1811">IF(F47="Acrobatic - Pair","PA",IF(F47="Acrobatic Airborn","A",IF(F47="Acrobatic Balance","B",IF(F47="Acrobatic Combined","C",IF(F47="Acrobatic Platform","P",IF(F47="Technical Required Element",3,IF(LEFT(F47,4)="Hybr","H","")))))))</f>
        <v/>
      </c>
      <c r="F48" s="17" t="str">
        <f>IF(AND(F47="Hybrid - Thrust + 2 connections",CR47="X"),"Hybrid - Thrust",IF(OR(E48="A",E48="B",E48="C",E48="P"),"Acrobatic",""))</f>
        <v/>
      </c>
      <c r="G48" s="31"/>
      <c r="H48" s="182" t="str">
        <f t="shared" ref="H48" si="1812">IF(E48="PA",IF(OR(LEFT(J47,1)="L",LEFT(J47,1)="S"),"A-Pair-Lift",IF(OR(LEFT(J47,1)="W",LEFT(J47,1)="T"),"A-Pair-Throw",IF(LEFT(J47,1)="J","A-Pair-Jump","A-Pair"))),IF(OR(E48="A",E48="B",E48="C",E48="P"),CONCATENATE("Acro-",E48),""))</f>
        <v/>
      </c>
      <c r="I48" s="176" t="e">
        <f>IF(OR(F47="Hybrid - Choreography (DD = 1)",LEFT(F47,5)="Trans"),0,INDEX($BY$3:$BY$9,MATCH(E48,$BX$3:$BX$9,0)))</f>
        <v>#N/A</v>
      </c>
      <c r="J48" s="171">
        <f ca="1">IFERROR(IF($H47="No DD",IF(J47="ChoHY",1,0),IF(OR(ISBLANK(J47),J47="N/A"),0,INDEX(INDIRECT(BI48),MATCH(J47,INDIRECT(BI47),0)))),0)</f>
        <v>0</v>
      </c>
      <c r="K48" s="171">
        <f t="shared" ref="K48:Y48" ca="1" si="1813">IFERROR(IF($H47="No DD",0,IF(OR(ISBLANK(K47),K47="N/A"),0,INDEX(INDIRECT(BJ48),MATCH(K47,INDIRECT(BJ47),0)))),0)</f>
        <v>0</v>
      </c>
      <c r="L48" s="171">
        <f t="shared" ca="1" si="1813"/>
        <v>0</v>
      </c>
      <c r="M48" s="171">
        <f t="shared" ca="1" si="1813"/>
        <v>0</v>
      </c>
      <c r="N48" s="171">
        <f t="shared" ca="1" si="1813"/>
        <v>0</v>
      </c>
      <c r="O48" s="171">
        <f t="shared" ca="1" si="1813"/>
        <v>0</v>
      </c>
      <c r="P48" s="171">
        <f t="shared" ca="1" si="1813"/>
        <v>0</v>
      </c>
      <c r="Q48" s="171">
        <f t="shared" ca="1" si="1813"/>
        <v>0</v>
      </c>
      <c r="R48" s="171">
        <f t="shared" ca="1" si="1813"/>
        <v>0</v>
      </c>
      <c r="S48" s="171">
        <f t="shared" ca="1" si="1813"/>
        <v>0</v>
      </c>
      <c r="T48" s="171">
        <f t="shared" ca="1" si="1813"/>
        <v>0</v>
      </c>
      <c r="U48" s="171">
        <f t="shared" ca="1" si="1813"/>
        <v>0</v>
      </c>
      <c r="V48" s="171">
        <f t="shared" ca="1" si="1813"/>
        <v>0</v>
      </c>
      <c r="W48" s="171">
        <f t="shared" ca="1" si="1813"/>
        <v>0</v>
      </c>
      <c r="X48" s="171">
        <f t="shared" ca="1" si="1813"/>
        <v>0</v>
      </c>
      <c r="Y48" s="171">
        <f t="shared" ca="1" si="1813"/>
        <v>0</v>
      </c>
      <c r="Z48" s="171">
        <f t="shared" ref="Z48" ca="1" si="1814">IFERROR(IF($H47="No DD",0,IF(OR(ISBLANK(Z47),Z47="N/A"),0,INDEX(INDIRECT(BY48),MATCH(Z47,INDIRECT(BY47),0)))),0)</f>
        <v>0</v>
      </c>
      <c r="AA48" s="171">
        <f t="shared" ref="AA48" ca="1" si="1815">IFERROR(IF($H47="No DD",0,IF(OR(ISBLANK(AA47),AA47="N/A"),0,INDEX(INDIRECT(BZ48),MATCH(AA47,INDIRECT(BZ47),0)))),0)</f>
        <v>0</v>
      </c>
      <c r="AB48" s="171">
        <f t="shared" ref="AB48" ca="1" si="1816">IFERROR(IF($H47="No DD",0,IF(OR(ISBLANK(AB47),AB47="N/A"),0,INDEX(INDIRECT(CA48),MATCH(AB47,INDIRECT(CA47),0)))),0)</f>
        <v>0</v>
      </c>
      <c r="AC48" s="171">
        <f t="shared" ref="AC48" ca="1" si="1817">IFERROR(IF($H47="No DD",0,IF(OR(ISBLANK(AC47),AC47="N/A"),0,INDEX(INDIRECT(CB48),MATCH(AC47,INDIRECT(CB47),0)))),0)</f>
        <v>0</v>
      </c>
      <c r="AD48" s="171">
        <f t="shared" ref="AD48" ca="1" si="1818">IFERROR(IF($H47="No DD",0,IF(OR(ISBLANK(AD47),AD47="N/A"),0,INDEX(INDIRECT(CC48),MATCH(AD47,INDIRECT(CC47),0)))),0)</f>
        <v>0</v>
      </c>
      <c r="AE48" s="171">
        <f t="shared" ref="AE48" ca="1" si="1819">IFERROR(IF($H47="No DD",0,IF(OR(ISBLANK(AE47),AE47="N/A"),0,INDEX(INDIRECT(CD48),MATCH(AE47,INDIRECT(CD47),0)))),0)</f>
        <v>0</v>
      </c>
      <c r="AF48" s="171">
        <f t="shared" ref="AF48" ca="1" si="1820">IFERROR(IF($H47="No DD",0,IF(OR(ISBLANK(AF47),AF47="N/A"),0,INDEX(INDIRECT(CE48),MATCH(AF47,INDIRECT(CE47),0)))),0)</f>
        <v>0</v>
      </c>
      <c r="AG48" s="171">
        <f t="shared" ref="AG48" ca="1" si="1821">IFERROR(IF($H47="No DD",0,IF(OR(ISBLANK(AG47),AG47="N/A"),0,INDEX(INDIRECT(CF48),MATCH(AG47,INDIRECT(CF47),0)))),0)</f>
        <v>0</v>
      </c>
      <c r="AH48" s="171">
        <f t="shared" ref="AH48" ca="1" si="1822">IFERROR(IF($H47="No DD",0,IF(OR(ISBLANK(AH47),AH47="N/A"),0,INDEX(INDIRECT(CG48),MATCH(AH47,INDIRECT(CG47),0)))),0)</f>
        <v>0</v>
      </c>
      <c r="AI48" s="171">
        <f t="shared" ref="AI48" ca="1" si="1823">IFERROR(IF($H47="No DD",0,IF(OR(ISBLANK(AI47),AI47="N/A"),0,INDEX(INDIRECT(CH48),MATCH(AI47,INDIRECT(CH47),0)))),0)</f>
        <v>0</v>
      </c>
      <c r="AJ48" s="171">
        <f t="shared" ref="AJ48" ca="1" si="1824">IFERROR(IF($H47="No DD",0,IF(OR(ISBLANK(AJ47),AJ47="N/A"),0,INDEX(INDIRECT(CI48),MATCH(AJ47,INDIRECT(CI47),0)))),0)</f>
        <v>0</v>
      </c>
      <c r="AK48" s="171">
        <f t="shared" ref="AK48" ca="1" si="1825">IFERROR(IF($H47="No DD",0,IF(OR(ISBLANK(AK47),AK47="N/A"),0,INDEX(INDIRECT(CJ48),MATCH(AK47,INDIRECT(CJ47),0)))),0)</f>
        <v>0</v>
      </c>
      <c r="AL48" s="171">
        <f t="shared" ref="AL48" ca="1" si="1826">IFERROR(IF($H47="No DD",0,IF(OR(ISBLANK(AL47),AL47="N/A"),0,INDEX(INDIRECT(CK48),MATCH(AL47,INDIRECT(CK47),0)))),0)</f>
        <v>0</v>
      </c>
      <c r="AM48" s="171">
        <f t="shared" ref="AM48" ca="1" si="1827">IFERROR(IF($H47="No DD",0,IF(OR(ISBLANK(AM47),AM47="N/A"),0,INDEX(INDIRECT(CL48),MATCH(AM47,INDIRECT(CL47),0)))),0)</f>
        <v>0</v>
      </c>
      <c r="AN48" s="172" t="str">
        <f>IFERROR(IF(E48="H",INDEX(HybridBonus_Value,MATCH(AN47,HybridBonus_Code,0)),""),"")</f>
        <v/>
      </c>
      <c r="AO48" s="276" t="str">
        <f t="shared" ref="AO48" si="1828">IFERROR(SUM(I48:AN48),"")</f>
        <v/>
      </c>
      <c r="AP48" s="62"/>
      <c r="AQ48" s="62"/>
      <c r="AR48" s="101"/>
      <c r="AS48" s="101"/>
      <c r="AT48" s="101"/>
      <c r="AU48" s="101"/>
      <c r="AV48" s="101"/>
      <c r="BA48" s="90"/>
      <c r="BB48" s="101"/>
      <c r="BC48" s="101"/>
      <c r="BD48" s="101"/>
      <c r="BE48" s="101"/>
      <c r="BF48" s="101"/>
      <c r="BG48" s="90"/>
      <c r="BH48" s="101"/>
      <c r="BI48" s="91" t="str">
        <f t="shared" ref="BI48" si="1829">IF($E48="H",IF($F47="Hybrid - Thrust + 2 connections","Hybrid_Mix_Req_Value","HybridDD_Value"),IF($E48=3,"TreDD_Value",IF($E48="PA","AcroPair_Value",IF(LEFT($F47,4)="Acro",CONCATENATE(BI$16,$E48,"_Value"),""))))</f>
        <v/>
      </c>
      <c r="BJ48" s="91" t="str">
        <f t="shared" ref="BJ48" si="1830">IF($E48="H",IF($F47="Hybrid - Thrust + 2 connections","Hybrid_Mix_Req_Value","HybridDD_Value"),IF($E48=3,"TreDD_Value",IF($E48="PA","AcroPair_Value",IF(LEFT($F47,4)="Acro",CONCATENATE(BJ$16,$E48,"_Value"),""))))</f>
        <v/>
      </c>
      <c r="BK48" s="91" t="str">
        <f t="shared" ref="BK48" si="1831">IF($E48="H",IF($F47="Hybrid - Thrust + 2 connections","Hybrid_Mix_Req_Value","HybridDD_Value"),IF($E48=3,"TreDD_Value",IF($E48="PA","AcroPair_Value",IF(LEFT($F47,4)="Acro",CONCATENATE(BK$16,$E48,"_Value"),""))))</f>
        <v/>
      </c>
      <c r="BL48" s="91" t="str">
        <f t="shared" ref="BL48" si="1832">IF($E48="H",IF($F47="Hybrid - Thrust + 2 connections","Hybrid_Mix_Req_Value","HybridDD_Value"),IF($E48=3,"TreDD_Value",IF($E48="PA","AcroPair_Value",IF(LEFT($F47,4)="Acro",CONCATENATE(BL$16,$E48,"_Value"),""))))</f>
        <v/>
      </c>
      <c r="BM48" s="91" t="str">
        <f t="shared" ref="BM48" si="1833">IF($E48="H",IF($F47="Hybrid - Thrust + 2 connections","Hybrid_Mix_Req_Value","HybridDD_Value"),IF($E48=3,"TreDD_Value",IF($E48="PA","AcroPair_Value",IF(LEFT($F47,4)="Acro",CONCATENATE(BM$16,$E48,"_Value"),""))))</f>
        <v/>
      </c>
      <c r="BN48" s="91" t="str">
        <f t="shared" ref="BN48" si="1834">IF($E48="H",IF($F47="Hybrid - Thrust + 2 connections","Hybrid_Mix_Req_Value","HybridDD_Value"),IF($E48=3,"TreDD_Value",IF($E48="PA","AcroPair_Value",IF(LEFT($F47,4)="Acro",CONCATENATE(BN$16,$E48,"_Value"),""))))</f>
        <v/>
      </c>
      <c r="BO48" s="91" t="str">
        <f t="shared" ref="BO48" si="1835">IF($E48="H",IF($F47="Hybrid - Thrust + 2 connections","Hybrid_Mix_Req_Value","HybridDD_Value"),IF($E48=3,"TreDD_Value",IF($E48="PA","AcroPair_Value",IF(LEFT($F47,4)="Acro",CONCATENATE(BO$16,$E48,"_Value"),""))))</f>
        <v/>
      </c>
      <c r="BP48" s="91" t="str">
        <f t="shared" ref="BP48" si="1836">IF($E48="H",IF($F47="Hybrid - Thrust + 2 connections","Hybrid_Mix_Req_Value","HybridDD_Value"),IF($E48=3,"TreDD_Value",IF($E48="PA","AcroPair_Value",IF(LEFT($F47,4)="Acro",CONCATENATE(BP$16,$E48,"_Value"),""))))</f>
        <v/>
      </c>
      <c r="BQ48" s="91" t="str">
        <f t="shared" ref="BQ48" si="1837">IF($E48="H",IF($F47="Hybrid - Thrust + 2 connections","Hybrid_Mix_Req_Value","HybridDD_Value"),IF($E48=3,"TreDD_Value",IF($E48="PA","AcroPair_Value",IF(LEFT($F47,4)="Acro",CONCATENATE(BQ$16,$E48,"_Value"),""))))</f>
        <v/>
      </c>
      <c r="BR48" s="90" t="str">
        <f t="shared" ref="BR48" si="1838">IF($E48="H",IF($F47="Hybrid - Thrust + 2 connections","Data!$BI$1:$BI$5","HybridDD_Value"),"Data!$BI$1:$BI$5")</f>
        <v>Data!$BI$1:$BI$5</v>
      </c>
      <c r="BS48" s="90" t="str">
        <f t="shared" ref="BS48" si="1839">IF($E48="H",IF($F47="Hybrid - Thrust + 2 connections","Data!$BI$1:$BI$5","HybridDD_Value"),"Data!$BI$1:$BI$5")</f>
        <v>Data!$BI$1:$BI$5</v>
      </c>
      <c r="BT48" s="90" t="str">
        <f t="shared" ref="BT48" si="1840">IF($E48="H",IF($F47="Hybrid - Thrust + 2 connections","Data!$BI$1:$BI$5","HybridDD_Value"),"Data!$BI$1:$BI$5")</f>
        <v>Data!$BI$1:$BI$5</v>
      </c>
      <c r="BU48" s="90" t="str">
        <f t="shared" ref="BU48" si="1841">IF($E48="H",IF($F47="Hybrid - Thrust + 2 connections","Data!$BI$1:$BI$5","HybridDD_Value"),"Data!$BI$1:$BI$5")</f>
        <v>Data!$BI$1:$BI$5</v>
      </c>
      <c r="BV48" s="90" t="str">
        <f t="shared" ref="BV48" si="1842">IF($E48="H",IF($F47="Hybrid - Thrust + 2 connections","Data!$BI$1:$BI$5","HybridDD_Value"),"Data!$BI$1:$BI$5")</f>
        <v>Data!$BI$1:$BI$5</v>
      </c>
      <c r="BW48" s="90" t="str">
        <f t="shared" ref="BW48" si="1843">IF($E48="H",IF($F47="Hybrid - Thrust + 2 connections","Data!$BI$1:$BI$5","HybridDD_Value"),"Data!$BI$1:$BI$5")</f>
        <v>Data!$BI$1:$BI$5</v>
      </c>
      <c r="BX48" s="90" t="str">
        <f t="shared" ref="BX48" si="1844">IF($E48="H",IF($F47="Hybrid - Thrust + 2 connections","Data!$BI$1:$BI$5","HybridDD_Value"),"Data!$BI$1:$BI$5")</f>
        <v>Data!$BI$1:$BI$5</v>
      </c>
      <c r="BY48" s="90" t="str">
        <f t="shared" ref="BY48" si="1845">IF($E48="H",IF($F47="Hybrid - Thrust + 2 connections","Data!$BI$1:$BI$5","HybridDD_Value"),"Data!$BI$1:$BI$5")</f>
        <v>Data!$BI$1:$BI$5</v>
      </c>
      <c r="BZ48" s="90" t="str">
        <f t="shared" ref="BZ48" si="1846">IF($E48="H",IF($F47="Hybrid - Thrust + 2 connections","Data!$BI$1:$BI$5","HybridDD_Value"),"Data!$BI$1:$BI$5")</f>
        <v>Data!$BI$1:$BI$5</v>
      </c>
      <c r="CA48" s="90" t="str">
        <f t="shared" ref="CA48" si="1847">IF($E48="H",IF($F47="Hybrid - Thrust + 2 connections","Data!$BI$1:$BI$5","HybridDD_Value"),"Data!$BI$1:$BI$5")</f>
        <v>Data!$BI$1:$BI$5</v>
      </c>
      <c r="CB48" s="90" t="str">
        <f t="shared" ref="CB48" si="1848">IF($E48="H",IF($F47="Hybrid - Thrust + 2 connections","Data!$BI$1:$BI$5","HybridDD_Value"),"Data!$BI$1:$BI$5")</f>
        <v>Data!$BI$1:$BI$5</v>
      </c>
      <c r="CC48" s="90" t="str">
        <f t="shared" ref="CC48" si="1849">IF($E48="H",IF($F47="Hybrid - Thrust + 2 connections","Data!$BI$1:$BI$5","HybridDD_Value"),"Data!$BI$1:$BI$5")</f>
        <v>Data!$BI$1:$BI$5</v>
      </c>
      <c r="CD48" s="90" t="str">
        <f t="shared" ref="CD48" si="1850">IF($E48="H",IF($F47="Hybrid - Thrust + 2 connections","Data!$BI$1:$BI$5","HybridDD_Value"),"Data!$BI$1:$BI$5")</f>
        <v>Data!$BI$1:$BI$5</v>
      </c>
      <c r="CE48" s="90" t="str">
        <f t="shared" ref="CE48" si="1851">IF($E48="H",IF($F47="Hybrid - Thrust + 2 connections","Data!$BI$1:$BI$5","HybridDD_Value"),"Data!$BI$1:$BI$5")</f>
        <v>Data!$BI$1:$BI$5</v>
      </c>
      <c r="CF48" s="90" t="str">
        <f t="shared" ref="CF48" si="1852">IF($E48="H",IF($F47="Hybrid - Thrust + 2 connections","Data!$BI$1:$BI$5","HybridDD_Value"),"Data!$BI$1:$BI$5")</f>
        <v>Data!$BI$1:$BI$5</v>
      </c>
      <c r="CG48" s="90" t="str">
        <f t="shared" ref="CG48" si="1853">IF($E48="H",IF($F47="Hybrid - Thrust + 2 connections","Data!$BI$1:$BI$5","HybridDD_Value"),"Data!$BI$1:$BI$5")</f>
        <v>Data!$BI$1:$BI$5</v>
      </c>
      <c r="CH48" s="90" t="str">
        <f t="shared" ref="CH48" si="1854">IF($E48="H",IF($F47="Hybrid - Thrust + 2 connections","Data!$BI$1:$BI$5","HybridDD_Value"),"Data!$BI$1:$BI$5")</f>
        <v>Data!$BI$1:$BI$5</v>
      </c>
      <c r="CI48" s="90" t="str">
        <f t="shared" ref="CI48" si="1855">IF($E48="H",IF($F47="Hybrid - Thrust + 2 connections","Data!$BI$1:$BI$5","HybridDD_Value"),"Data!$BI$1:$BI$5")</f>
        <v>Data!$BI$1:$BI$5</v>
      </c>
      <c r="CJ48" s="90" t="str">
        <f t="shared" ref="CJ48" si="1856">IF($E48="H",IF($F47="Hybrid - Thrust + 2 connections","Data!$BI$1:$BI$5","HybridDD_Value"),"Data!$BI$1:$BI$5")</f>
        <v>Data!$BI$1:$BI$5</v>
      </c>
      <c r="CK48" s="90" t="str">
        <f t="shared" ref="CK48" si="1857">IF($E48="H",IF($F47="Hybrid - Thrust + 2 connections","Data!$BI$1:$BI$5","HybridDD_Value"),"Data!$BI$1:$BI$5")</f>
        <v>Data!$BI$1:$BI$5</v>
      </c>
      <c r="CL48" s="90" t="str">
        <f t="shared" ref="CL48" si="1858">IF($E48="H",IF($F47="Hybrid - Thrust + 2 connections","Data!$BI$1:$BI$5","HybridDD_Value"),"Data!$BI$1:$BI$5")</f>
        <v>Data!$BI$1:$BI$5</v>
      </c>
      <c r="CM48" s="101"/>
      <c r="CN48" s="101"/>
      <c r="CO48" s="102" t="str">
        <f>IFERROR(IF(AND($BV$6="T",$BV$8="T",LEFT(F47,4)="Acro",AO48&gt;3),"X",IF($N$7="X",IF(AND(E48="C",AO48&gt;$CN$6),"X",IF(AND(E48="A",AO48&gt;$CN$4),"X",IF(AND(E48="B",AO48&gt;$CN$5),"X",IF(AND(E48="P",AO48&gt;$CN$7),"X","")))),"")),"")</f>
        <v/>
      </c>
      <c r="CP48" s="94"/>
      <c r="CQ48" s="91"/>
      <c r="CS48" s="91"/>
      <c r="CT48" s="91"/>
      <c r="CU48" s="91"/>
      <c r="CV48" s="91"/>
      <c r="CW48" s="91"/>
      <c r="CX48" s="91"/>
      <c r="CY48" s="91"/>
      <c r="CZ48" s="91"/>
      <c r="DD48" s="88" t="str">
        <f t="shared" si="10"/>
        <v/>
      </c>
      <c r="DE48" s="88" t="str">
        <f t="shared" si="11"/>
        <v/>
      </c>
      <c r="DF48" s="88" t="str">
        <f t="shared" si="12"/>
        <v/>
      </c>
      <c r="DG48" s="88" t="str">
        <f t="shared" si="13"/>
        <v/>
      </c>
      <c r="DO48" s="88">
        <v>30</v>
      </c>
      <c r="ED48" s="88" t="str">
        <f t="shared" si="14"/>
        <v/>
      </c>
      <c r="EE48" s="88" t="str">
        <f t="shared" si="15"/>
        <v/>
      </c>
      <c r="EI48" s="88" t="str" cm="1">
        <f t="array" ref="EI48">IFERROR(INDEX(EK48:FN48,MATCH(TRUE,INDEX((EK48:FN48&lt;&gt;""),),0)),"")</f>
        <v/>
      </c>
      <c r="EK48" s="88" t="str">
        <f t="shared" ref="EK48" si="1859">IF(F47="Hybrid - Thrust + 2 connections",IF(COUNTIF($EK47:$FN47,EK47)&gt;1,EK47,""),IF(COUNTIF($EK47:$FN47,EK47)&gt;5,EK47,""))</f>
        <v/>
      </c>
      <c r="EL48" s="88" t="str">
        <f t="shared" ref="EL48" si="1860">IF(G47="Hybrid - Thrust + 2 connections",IF(COUNTIF($EK47:$FN47,EL47)&gt;1,EL47,""),IF(COUNTIF($EK47:$FN47,EL47)&gt;5,EL47,""))</f>
        <v/>
      </c>
      <c r="EM48" s="88" t="str">
        <f t="shared" ref="EM48" si="1861">IF(H47="Hybrid - Thrust + 2 connections",IF(COUNTIF($EK47:$FN47,EM47)&gt;1,EM47,""),IF(COUNTIF($EK47:$FN47,EM47)&gt;5,EM47,""))</f>
        <v/>
      </c>
      <c r="EN48" s="88" t="str">
        <f t="shared" ref="EN48" si="1862">IF(I47="Hybrid - Thrust + 2 connections",IF(COUNTIF($EK47:$FN47,EN47)&gt;1,EN47,""),IF(COUNTIF($EK47:$FN47,EN47)&gt;5,EN47,""))</f>
        <v/>
      </c>
      <c r="EO48" s="88" t="str">
        <f t="shared" ref="EO48" si="1863">IF(J47="Hybrid - Thrust + 2 connections",IF(COUNTIF($EK47:$FN47,EO47)&gt;1,EO47,""),IF(COUNTIF($EK47:$FN47,EO47)&gt;5,EO47,""))</f>
        <v/>
      </c>
      <c r="EP48" s="88" t="str">
        <f t="shared" ref="EP48" si="1864">IF(K47="Hybrid - Thrust + 2 connections",IF(COUNTIF($EK47:$FN47,EP47)&gt;1,EP47,""),IF(COUNTIF($EK47:$FN47,EP47)&gt;5,EP47,""))</f>
        <v/>
      </c>
      <c r="EQ48" s="88" t="str">
        <f t="shared" ref="EQ48" si="1865">IF(L47="Hybrid - Thrust + 2 connections",IF(COUNTIF($EK47:$FN47,EQ47)&gt;1,EQ47,""),IF(COUNTIF($EK47:$FN47,EQ47)&gt;5,EQ47,""))</f>
        <v/>
      </c>
      <c r="ER48" s="88" t="str">
        <f t="shared" ref="ER48" si="1866">IF(M47="Hybrid - Thrust + 2 connections",IF(COUNTIF($EK47:$FN47,ER47)&gt;1,ER47,""),IF(COUNTIF($EK47:$FN47,ER47)&gt;5,ER47,""))</f>
        <v/>
      </c>
      <c r="ES48" s="88" t="str">
        <f t="shared" ref="ES48" si="1867">IF(N47="Hybrid - Thrust + 2 connections",IF(COUNTIF($EK47:$FN47,ES47)&gt;1,ES47,""),IF(COUNTIF($EK47:$FN47,ES47)&gt;5,ES47,""))</f>
        <v/>
      </c>
      <c r="ET48" s="88" t="str">
        <f t="shared" ref="ET48" si="1868">IF(O47="Hybrid - Thrust + 2 connections",IF(COUNTIF($EK47:$FN47,ET47)&gt;1,ET47,""),IF(COUNTIF($EK47:$FN47,ET47)&gt;5,ET47,""))</f>
        <v/>
      </c>
      <c r="EU48" s="88" t="str">
        <f t="shared" ref="EU48" si="1869">IF(P47="Hybrid - Thrust + 2 connections",IF(COUNTIF($EK47:$FN47,EU47)&gt;1,EU47,""),IF(COUNTIF($EK47:$FN47,EU47)&gt;5,EU47,""))</f>
        <v/>
      </c>
      <c r="EV48" s="88" t="str">
        <f t="shared" ref="EV48" si="1870">IF(Q47="Hybrid - Thrust + 2 connections",IF(COUNTIF($EK47:$FN47,EV47)&gt;1,EV47,""),IF(COUNTIF($EK47:$FN47,EV47)&gt;5,EV47,""))</f>
        <v/>
      </c>
      <c r="EW48" s="88" t="str">
        <f t="shared" ref="EW48" si="1871">IF(R47="Hybrid - Thrust + 2 connections",IF(COUNTIF($EK47:$FN47,EW47)&gt;1,EW47,""),IF(COUNTIF($EK47:$FN47,EW47)&gt;5,EW47,""))</f>
        <v/>
      </c>
      <c r="EX48" s="88" t="str">
        <f t="shared" ref="EX48" si="1872">IF(S47="Hybrid - Thrust + 2 connections",IF(COUNTIF($EK47:$FN47,EX47)&gt;1,EX47,""),IF(COUNTIF($EK47:$FN47,EX47)&gt;5,EX47,""))</f>
        <v/>
      </c>
      <c r="EY48" s="88" t="str">
        <f t="shared" ref="EY48" si="1873">IF(T47="Hybrid - Thrust + 2 connections",IF(COUNTIF($EK47:$FN47,EY47)&gt;1,EY47,""),IF(COUNTIF($EK47:$FN47,EY47)&gt;5,EY47,""))</f>
        <v/>
      </c>
      <c r="EZ48" s="88" t="str">
        <f t="shared" ref="EZ48" si="1874">IF(U47="Hybrid - Thrust + 2 connections",IF(COUNTIF($EK47:$FN47,EZ47)&gt;1,EZ47,""),IF(COUNTIF($EK47:$FN47,EZ47)&gt;5,EZ47,""))</f>
        <v/>
      </c>
      <c r="FA48" s="88" t="str">
        <f t="shared" ref="FA48" si="1875">IF(V47="Hybrid - Thrust + 2 connections",IF(COUNTIF($EK47:$FN47,FA47)&gt;1,FA47,""),IF(COUNTIF($EK47:$FN47,FA47)&gt;5,FA47,""))</f>
        <v/>
      </c>
      <c r="FB48" s="88" t="str">
        <f t="shared" ref="FB48" si="1876">IF(W47="Hybrid - Thrust + 2 connections",IF(COUNTIF($EK47:$FN47,FB47)&gt;1,FB47,""),IF(COUNTIF($EK47:$FN47,FB47)&gt;5,FB47,""))</f>
        <v/>
      </c>
      <c r="FC48" s="88" t="str">
        <f t="shared" ref="FC48" si="1877">IF(X47="Hybrid - Thrust + 2 connections",IF(COUNTIF($EK47:$FN47,FC47)&gt;1,FC47,""),IF(COUNTIF($EK47:$FN47,FC47)&gt;5,FC47,""))</f>
        <v/>
      </c>
      <c r="FD48" s="88" t="str">
        <f t="shared" ref="FD48" si="1878">IF(Y47="Hybrid - Thrust + 2 connections",IF(COUNTIF($EK47:$FN47,FD47)&gt;1,FD47,""),IF(COUNTIF($EK47:$FN47,FD47)&gt;5,FD47,""))</f>
        <v/>
      </c>
      <c r="FE48" s="88" t="str">
        <f t="shared" ref="FE48" si="1879">IF(Z47="Hybrid - Thrust + 2 connections",IF(COUNTIF($EK47:$FN47,FE47)&gt;1,FE47,""),IF(COUNTIF($EK47:$FN47,FE47)&gt;5,FE47,""))</f>
        <v/>
      </c>
      <c r="FF48" s="88" t="str">
        <f t="shared" ref="FF48" si="1880">IF(AA47="Hybrid - Thrust + 2 connections",IF(COUNTIF($EK47:$FN47,FF47)&gt;1,FF47,""),IF(COUNTIF($EK47:$FN47,FF47)&gt;5,FF47,""))</f>
        <v/>
      </c>
      <c r="FG48" s="88" t="str">
        <f t="shared" ref="FG48" si="1881">IF(AB47="Hybrid - Thrust + 2 connections",IF(COUNTIF($EK47:$FN47,FG47)&gt;1,FG47,""),IF(COUNTIF($EK47:$FN47,FG47)&gt;5,FG47,""))</f>
        <v/>
      </c>
      <c r="FH48" s="88" t="str">
        <f t="shared" ref="FH48" si="1882">IF(AC47="Hybrid - Thrust + 2 connections",IF(COUNTIF($EK47:$FN47,FH47)&gt;1,FH47,""),IF(COUNTIF($EK47:$FN47,FH47)&gt;5,FH47,""))</f>
        <v/>
      </c>
      <c r="FI48" s="88" t="str">
        <f t="shared" ref="FI48" si="1883">IF(AD47="Hybrid - Thrust + 2 connections",IF(COUNTIF($EK47:$FN47,FI47)&gt;1,FI47,""),IF(COUNTIF($EK47:$FN47,FI47)&gt;5,FI47,""))</f>
        <v/>
      </c>
      <c r="FJ48" s="88" t="str">
        <f t="shared" ref="FJ48" si="1884">IF(AE47="Hybrid - Thrust + 2 connections",IF(COUNTIF($EK47:$FN47,FJ47)&gt;1,FJ47,""),IF(COUNTIF($EK47:$FN47,FJ47)&gt;5,FJ47,""))</f>
        <v/>
      </c>
      <c r="FK48" s="88" t="str">
        <f t="shared" ref="FK48" si="1885">IF(AF47="Hybrid - Thrust + 2 connections",IF(COUNTIF($EK47:$FN47,FK47)&gt;1,FK47,""),IF(COUNTIF($EK47:$FN47,FK47)&gt;5,FK47,""))</f>
        <v/>
      </c>
      <c r="FL48" s="88" t="str">
        <f t="shared" ref="FL48" si="1886">IF(AG47="Hybrid - Thrust + 2 connections",IF(COUNTIF($EK47:$FN47,FL47)&gt;1,FL47,""),IF(COUNTIF($EK47:$FN47,FL47)&gt;5,FL47,""))</f>
        <v/>
      </c>
      <c r="FM48" s="88" t="str">
        <f t="shared" ref="FM48" si="1887">IF(AH47="Hybrid - Thrust + 2 connections",IF(COUNTIF($EK47:$FN47,FM47)&gt;1,FM47,""),IF(COUNTIF($EK47:$FN47,FM47)&gt;5,FM47,""))</f>
        <v/>
      </c>
      <c r="FN48" s="88" t="str">
        <f t="shared" ref="FN48" si="1888">IF(AI47="Hybrid - Thrust + 2 connections",IF(COUNTIF($EK47:$FN47,FN47)&gt;1,FN47,""),IF(COUNTIF($EK47:$FN47,FN47)&gt;5,FN47,""))</f>
        <v/>
      </c>
      <c r="FO48" s="88">
        <f t="shared" ref="FO48" si="1889">FO46+5</f>
        <v>70</v>
      </c>
      <c r="FP48" s="88" t="str" cm="1">
        <f t="array" ref="FP48">IF(FQ48&lt;&gt;"",LEFT(FQ48,FIND("*",FQ48)-1),INDEX($FP$75:$FP$172,FO48+1))</f>
        <v/>
      </c>
      <c r="FQ48" s="88" t="str" cm="1">
        <f t="array" ref="FQ48">INDEX($FQ$75:$FQ$172,FO48+1)</f>
        <v/>
      </c>
      <c r="FR48" s="285"/>
      <c r="FS48" s="285"/>
      <c r="FT48" s="285"/>
      <c r="FU48" s="285"/>
      <c r="FV48" s="285"/>
      <c r="FW48" s="285"/>
      <c r="FX48" s="285"/>
      <c r="FY48" s="285"/>
      <c r="FZ48" s="285"/>
      <c r="GA48" s="285"/>
      <c r="GB48" s="285"/>
      <c r="GC48" s="285"/>
      <c r="GD48" s="285"/>
      <c r="GE48" s="285"/>
      <c r="GF48" s="285"/>
      <c r="GG48" s="285"/>
      <c r="GH48" s="285"/>
      <c r="GI48" s="285"/>
      <c r="GJ48" s="285"/>
      <c r="GK48" s="285"/>
      <c r="GL48" s="285"/>
      <c r="GM48" s="285"/>
      <c r="GN48" s="285"/>
      <c r="GO48" s="285"/>
      <c r="GP48" s="285"/>
      <c r="GQ48" s="285"/>
      <c r="GR48" s="285"/>
      <c r="GS48" s="285"/>
      <c r="GT48" s="285"/>
      <c r="GU48" s="285"/>
      <c r="GV48" s="88"/>
      <c r="GW48" s="88"/>
      <c r="GX48" s="88"/>
      <c r="GY48" s="88"/>
      <c r="GZ48" s="88"/>
      <c r="HA48" s="88"/>
      <c r="HB48" s="88"/>
      <c r="HC48" s="88"/>
      <c r="HD48" s="88" t="str">
        <f>IF($F47="Hybrid - Thrust + 2 connections",COUNTBLANK(J47:L47),"")</f>
        <v/>
      </c>
      <c r="HE48" s="88"/>
      <c r="HF48" s="91"/>
      <c r="HG48" s="91"/>
      <c r="HH48" s="91"/>
      <c r="HI48" s="91"/>
    </row>
    <row r="49" spans="1:222" ht="12.75" customHeight="1" x14ac:dyDescent="0.35">
      <c r="A49" s="28" t="str">
        <f>IF(AND(E47="",A47&lt;&gt;""),IF(CP47=$CP$18,"",IF(C47&lt;&gt;"",IF(D47=59,MINUTE(CP47)+1,MINUTE(CP47)),"")),"")</f>
        <v/>
      </c>
      <c r="B49" s="29" t="str">
        <f>IF(AND(E47="",B47&lt;&gt;""),IF(CP47=$CP$18,"",IF(C47&lt;&gt;"",IF(D47=59,0,SECOND(CP47)+1),"")),"")</f>
        <v/>
      </c>
      <c r="C49" s="39"/>
      <c r="D49" s="39"/>
      <c r="E49" s="9"/>
      <c r="F49" s="40"/>
      <c r="G49" s="31" t="str">
        <f>IF(F49&lt;&gt;"",IF(OR(F49="Transition",F49="Transition - Surface Connection"),0,MAX($G$19:G48)+1),"")</f>
        <v/>
      </c>
      <c r="H49" s="43" t="str">
        <f>IFERROR(IF(E50="3","",IF(OR(F49="Hybrid - Choreography (DD = 1)",LEFT(F49,5)="Trans"),"No DD",CONCATENATE("BM = ",I50))),"")</f>
        <v/>
      </c>
      <c r="I49" s="44"/>
      <c r="J49" s="109"/>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58"/>
      <c r="AO49" s="32"/>
      <c r="AP49" s="61"/>
      <c r="AQ49" s="61"/>
      <c r="AR49" s="90"/>
      <c r="AS49" s="90"/>
      <c r="AT49" s="90"/>
      <c r="AU49" s="90"/>
      <c r="AV49" s="90"/>
      <c r="AW49" s="91" t="str">
        <f t="shared" ref="AW49" si="1890">E50</f>
        <v/>
      </c>
      <c r="AX49" s="94" t="str">
        <f t="shared" ref="AX49" si="1891">IF(AY49=0,"",TIME(0,A49,B49))</f>
        <v/>
      </c>
      <c r="AY49" s="94">
        <f t="shared" ref="AY49" si="1892">TIME(0,C49,D49)</f>
        <v>0</v>
      </c>
      <c r="AZ49" s="94" t="str">
        <f t="shared" ref="AZ49" si="1893">IFERROR(AY49-AX49,"")</f>
        <v/>
      </c>
      <c r="BA49" s="237" t="str">
        <f t="shared" ref="BA49" si="1894">IF($AX$17=0,"",IF(AND($C$10&lt;&gt;"",AW49="H",AZ49&gt;$AX$17),"X",""))</f>
        <v/>
      </c>
      <c r="BB49" s="90"/>
      <c r="BC49" s="90"/>
      <c r="BD49" s="90"/>
      <c r="BE49" s="90"/>
      <c r="BF49" s="90"/>
      <c r="BG49" s="90" t="str">
        <f>IFERROR(IF(F49&lt;&gt;"",INDEX(Parts_Active,MATCH(F49,Parts_Active,0)),""),"No")</f>
        <v/>
      </c>
      <c r="BH49" s="90"/>
      <c r="BI49" s="90" t="str">
        <f>IF($E50="H",IF($F49="Hybrid - Thrust + 2 connections","Hybrid_Mix_Req",IF($F49="Hybrid - Choreography (DD = 1)","Hybrid_ChoHY","HybridDD_Code")),IF($E50=3,"TreDD_Code",IF($E50="PA","AcroPair_Code",IF(LEFT($F49,4)="Acro",CONCATENATE(BI$16,$E50,"_Code"),"Data!$BI$1:$BI$5"))))</f>
        <v>Data!$BI$1:$BI$5</v>
      </c>
      <c r="BJ49" s="90" t="str">
        <f t="shared" ref="BJ49" si="1895">IF($E50="H",IF($F49="Hybrid - Thrust + 2 connections","Hybrid_Mix_Req",IF($F49="Hybrid - min 4 swimmers (no DD)","Data!$BI$1:$BI$5","HybridDD_Code")),IF($E50=3,"TreDD_Code",IF($E50="PA","AcroPair_Code",IF(LEFT($F49,4)="Acro",CONCATENATE(BJ$16,$E50,"_Code"),"Data!$BI$1:$BI$5"))))</f>
        <v>Data!$BI$1:$BI$5</v>
      </c>
      <c r="BK49" s="90" t="str">
        <f t="shared" si="978"/>
        <v>Data!$BI$1:$BI$5</v>
      </c>
      <c r="BL49" s="90" t="str">
        <f t="shared" si="978"/>
        <v>Data!$BI$1:$BI$5</v>
      </c>
      <c r="BM49" s="90" t="str">
        <f t="shared" si="978"/>
        <v>Data!$BI$1:$BI$5</v>
      </c>
      <c r="BN49" s="90" t="str">
        <f t="shared" si="978"/>
        <v>Data!$BI$1:$BI$5</v>
      </c>
      <c r="BO49" s="90" t="str">
        <f t="shared" si="978"/>
        <v>Data!$BI$1:$BI$5</v>
      </c>
      <c r="BP49" s="90" t="str">
        <f t="shared" si="978"/>
        <v>Data!$BI$1:$BI$5</v>
      </c>
      <c r="BQ49" s="90" t="str">
        <f t="shared" si="978"/>
        <v>Data!$BI$1:$BI$5</v>
      </c>
      <c r="BR49" s="90" t="str">
        <f t="shared" ref="BR49" si="1896">IF($E50="H",IF($F49="Hybrid - Thrust + 2 connections","Data!$BI$1:$BI$5","HybridDD_Code"),"Data!$BI$1:$BI$5")</f>
        <v>Data!$BI$1:$BI$5</v>
      </c>
      <c r="BS49" s="90" t="str">
        <f t="shared" si="445"/>
        <v>Data!$BI$1:$BI$5</v>
      </c>
      <c r="BT49" s="90" t="str">
        <f t="shared" si="445"/>
        <v>Data!$BI$1:$BI$5</v>
      </c>
      <c r="BU49" s="90" t="str">
        <f t="shared" si="445"/>
        <v>Data!$BI$1:$BI$5</v>
      </c>
      <c r="BV49" s="90" t="str">
        <f t="shared" si="445"/>
        <v>Data!$BI$1:$BI$5</v>
      </c>
      <c r="BW49" s="90" t="str">
        <f t="shared" si="445"/>
        <v>Data!$BI$1:$BI$5</v>
      </c>
      <c r="BX49" s="90" t="str">
        <f t="shared" si="445"/>
        <v>Data!$BI$1:$BI$5</v>
      </c>
      <c r="BY49" s="90" t="str">
        <f t="shared" si="445"/>
        <v>Data!$BI$1:$BI$5</v>
      </c>
      <c r="BZ49" s="90" t="str">
        <f t="shared" si="445"/>
        <v>Data!$BI$1:$BI$5</v>
      </c>
      <c r="CA49" s="90" t="str">
        <f t="shared" si="445"/>
        <v>Data!$BI$1:$BI$5</v>
      </c>
      <c r="CB49" s="90" t="str">
        <f t="shared" si="445"/>
        <v>Data!$BI$1:$BI$5</v>
      </c>
      <c r="CC49" s="90" t="str">
        <f t="shared" si="445"/>
        <v>Data!$BI$1:$BI$5</v>
      </c>
      <c r="CD49" s="90" t="str">
        <f t="shared" si="445"/>
        <v>Data!$BI$1:$BI$5</v>
      </c>
      <c r="CE49" s="90" t="str">
        <f t="shared" si="445"/>
        <v>Data!$BI$1:$BI$5</v>
      </c>
      <c r="CF49" s="90" t="str">
        <f t="shared" si="445"/>
        <v>Data!$BI$1:$BI$5</v>
      </c>
      <c r="CG49" s="90" t="str">
        <f t="shared" si="445"/>
        <v>Data!$BI$1:$BI$5</v>
      </c>
      <c r="CH49" s="90" t="str">
        <f t="shared" si="445"/>
        <v>Data!$BI$1:$BI$5</v>
      </c>
      <c r="CI49" s="90" t="str">
        <f t="shared" si="980"/>
        <v>Data!$BI$1:$BI$5</v>
      </c>
      <c r="CJ49" s="90" t="str">
        <f t="shared" si="980"/>
        <v>Data!$BI$1:$BI$5</v>
      </c>
      <c r="CK49" s="90" t="str">
        <f t="shared" si="980"/>
        <v>Data!$BI$1:$BI$5</v>
      </c>
      <c r="CL49" s="90" t="str">
        <f t="shared" si="980"/>
        <v>Data!$BI$1:$BI$5</v>
      </c>
      <c r="CM49" s="90"/>
      <c r="CN49" s="90"/>
      <c r="CO49" s="93" t="str">
        <f>IFERROR(TIME(0,A49,B49),"")</f>
        <v/>
      </c>
      <c r="CP49" s="94">
        <f>IFERROR(TIME(0,C49,D49),"")</f>
        <v>0</v>
      </c>
      <c r="CQ49" s="94" t="str">
        <f t="shared" ref="CQ49" si="1897">IF(CP49&gt;$D$12,"X","")</f>
        <v/>
      </c>
      <c r="CR49" s="88" t="str">
        <f>IF(AND(F49="Hybrid - Thrust + 2 connections",OR(LEFT(J49,1)="T",LEFT(K49,1)="T",LEFT(L49,1)="T",LEFT(PB49,1)="T",LEFT(M49,1)="T",LEFT(N49,1)="T",LEFT(O49,1)="T",LEFT(P49,1)="T",LEFT(Q49,1)="T",LEFT(R49,1)="T",LEFT(S49,1)="T",LEFT(T49,1)="T",LEFT(U49,1)="T",LEFT(V49,1)="T",LEFT(W49,1)="T",LEFT(X49,1)="T",LEFT(AK49,1)="T",LEFT(AL49,1)="T",LEFT(AM49,1)="T")),IF(OR(LEN(J49)=2,LEN(K49)=2,LEN(L49)=2,LEN(M49)=2,LEN(N49)=2,LEN(O49)=2,LEN(P49)=2,LEN(Q49)=2,LEN(R49)=2,LEN(S49)=2,LEN(T49)=2,LEN(U49)=2,LEN(V49)=2,LEN(W49)=2,LEN(X49)=2,LEN(Y49)=2,LEN(Z49)=2,LEN(AK49)=2,LEN(AL49)=2,LEN(AM49)=2),"X",""),"")</f>
        <v/>
      </c>
      <c r="CS49" s="91" t="str">
        <f>IF(F49="Hybrid",SECOND(CP49),"")</f>
        <v/>
      </c>
      <c r="CT49" s="88" t="str">
        <f>IF(LEFT(F49,4)="Acro",IF(AND(N49&lt;&gt;"",M49=RIGHT(N49,2)),"X","OK"),"")</f>
        <v/>
      </c>
      <c r="CU49" s="90" t="str">
        <f t="shared" ref="CU49:DB49" si="1898">IFERROR(IF(AND(LEFT($F49,4)="Acro",INDEX(Requ_App,MATCH(BI49,Requ_Code,0))="No"),"X",""),"")</f>
        <v/>
      </c>
      <c r="CV49" s="90" t="str">
        <f t="shared" si="1898"/>
        <v/>
      </c>
      <c r="CW49" s="90" t="str">
        <f t="shared" si="1898"/>
        <v/>
      </c>
      <c r="CX49" s="90" t="str">
        <f t="shared" si="1898"/>
        <v/>
      </c>
      <c r="CY49" s="90" t="str">
        <f t="shared" si="1898"/>
        <v/>
      </c>
      <c r="CZ49" s="90" t="str">
        <f t="shared" si="1898"/>
        <v/>
      </c>
      <c r="DA49" s="90" t="str">
        <f t="shared" si="1898"/>
        <v/>
      </c>
      <c r="DB49" s="90" t="str">
        <f t="shared" si="1898"/>
        <v/>
      </c>
      <c r="DC49" s="90" t="str">
        <f>IFERROR(IF(AND(LEFT($F49,4)="Acro",INDEX(Requ_App,MATCH(BP49,Requ_Code,0))="No"),"X",""),"")</f>
        <v/>
      </c>
      <c r="DD49" s="88" t="str">
        <f t="shared" si="10"/>
        <v/>
      </c>
      <c r="DE49" s="88" t="str">
        <f t="shared" si="11"/>
        <v/>
      </c>
      <c r="DF49" s="88" t="str">
        <f t="shared" si="12"/>
        <v/>
      </c>
      <c r="DG49" s="88" t="str">
        <f t="shared" si="13"/>
        <v/>
      </c>
      <c r="DK49" s="88">
        <f t="shared" ref="DK49" si="1899">IF(AND(E50="A",OR(Q49="Grip",Q49="Conn",Q49="Catch")),"A1",IF(AND(E50="A",OR(Q49="Hula",Q49="RetSq",Q49="RetPa")),"A2",IF(AND(E50="B",OR(Q49="Twirl",Q49="RotF")),"B1",IF(AND(E50="B",OR(Q49="Moon",Q49="Mov",Q49="Hold")),"B2",IF(AND(E50="P",OR(Q49="Porp",Q49="Splch")),"P1",IF(AND(E50="P",OR(Q49="Diva",Q49="Stand")),"P2",IF(AND(E50="P",OR(Q49="Spider",Q49="Climb")),"P3",IF(AND(E50="P",OR(Q49="Fall",Q49="FTurn")),"P4",IF(AND(E50="C",OR(Q49="Jump",Q49="Jump&gt;",Q49="On1Foot",Q49="1F&gt;1F")),"C1",IF(AND(E50="C",OR(Q49="Run",Q49="BRun")),"C2",1))))))))))</f>
        <v>1</v>
      </c>
      <c r="DL49" s="88">
        <f t="shared" ref="DL49" si="1900">IF(AND(E50="A",OR(R49="Grip",R49="Conn",R49="Catch")),"A1",IF(AND(E50="A",OR(R49="Hula",R49="RetSq",R49="RetPa")),"A2",IF(AND(E50="B",OR(R49="Twirl",R49="RotF")),"B1",IF(AND(E50="B",OR(R49="Moon",R49="Mov",R49="Hold")),"B2",IF(AND(E50="P",OR(R49="Porp",R49="Spich")),"P1",IF(AND(E50="P",OR(R49="Diva",R49="Stand")),"P2",IF(AND(E50="P",OR(R49="Spider",R49="Climb")),"P3",IF(AND(E50="P",OR(R49="Fall",R49="FTurn")),"P4",IF(AND(E50="C",OR(R49="Jump",R49="Jump&gt;",R49="On1Foot",R49="1F&gt;1F")),"C1",IF(AND(E50="C",OR(R49="Run",R49="BRun")),"C2",2))))))))))</f>
        <v>2</v>
      </c>
      <c r="DM49" s="88" t="str">
        <f t="shared" ref="DM49" si="1901">IF(AND(N49="",OR(Q49&lt;&gt;"",R49&lt;&gt;"")),"X",IF(AND(LEFT(F49,4)="Acro",Q49&lt;&gt;"",OR(Q49=R49,DK49=DL49)),IF(R49="C-Roll","","X"),IF(OR(AND(E50="A",Q49="Catch",R49&lt;&gt;"Dbl"),AND(E50="A",R49="Catch",Q49&lt;&gt;"Dbl")),"X","")))</f>
        <v/>
      </c>
      <c r="DN49" s="88" t="str">
        <f>IF(E50="PA",J49,"")</f>
        <v/>
      </c>
      <c r="DO49" s="88">
        <v>31</v>
      </c>
      <c r="DQ49" s="88" t="str">
        <f>IF(AND($E50="A",COUNTIF($DZ$19:$EA$68,DZ49)&gt;1),DZ49,"")</f>
        <v/>
      </c>
      <c r="DR49" s="88" t="str">
        <f>IF(AND($E50="A",COUNTIF($DZ$19:$EA$68,EA49)&gt;1),EA49,"")</f>
        <v/>
      </c>
      <c r="DS49" s="88" t="str">
        <f ca="1">IF(AND($E50="B",COUNTIF($J$19:$J$68,J49)&gt;1),J49,"")</f>
        <v/>
      </c>
      <c r="DT49" s="88" t="str">
        <f ca="1">IF(AND($E50="B",COUNTIF($K$19:$K$68,K49)&gt;1),K49,"")</f>
        <v/>
      </c>
      <c r="DU49" s="88" t="str">
        <f ca="1">IF(AND($E50="C",COUNTIF($J$19:$J$68,J49)&gt;1),J49,"")</f>
        <v/>
      </c>
      <c r="DV49" s="88" t="str">
        <f ca="1">IF(AND($E50="P",COUNTIF($J$19:$J$68,J49)&gt;1),J49,"")</f>
        <v/>
      </c>
      <c r="DW49" s="88" t="str">
        <f ca="1">IF(AND($E50="P",COUNTIF($K$19:$K$68,K49)&gt;1),K49,"")</f>
        <v/>
      </c>
      <c r="DX49" s="88" t="str">
        <f>IF(AND($E50="P",COUNTIF($DZ$19:$EA$68,DZ49)&gt;1),DZ49,"")</f>
        <v/>
      </c>
      <c r="DY49" s="88" t="str">
        <f>IF(AND($E50="P",COUNTIF($DZ$19:$EA$68,EA49)&gt;1),EA49,"")</f>
        <v/>
      </c>
      <c r="DZ49" s="88" t="str">
        <f>IFERROR(IF(OR(E50="A",E50="P"),M49,""),"")</f>
        <v/>
      </c>
      <c r="EA49" s="88" t="str">
        <f>IFERROR(IF(OR(E50="A",E50="P"),RIGHT(N49,2),""),"")</f>
        <v/>
      </c>
      <c r="EB49" s="88" t="str">
        <f t="shared" ref="EB49" si="1902">IF(Q49="","",IF(AND($E50="P",COUNTIF($Q$19:$R$68,Q49)&gt;1),Q49,""))</f>
        <v/>
      </c>
      <c r="EC49" s="88" t="str">
        <f t="shared" ref="EC49" si="1903">IF(R49="","",IF(AND($E50="P",COUNTIF($Q$19:$R$68,R49)&gt;1),R49,""))</f>
        <v/>
      </c>
      <c r="ED49" s="88" t="str">
        <f t="shared" si="14"/>
        <v/>
      </c>
      <c r="EE49" s="88" t="str">
        <f t="shared" si="15"/>
        <v/>
      </c>
      <c r="EF49" s="88" t="str">
        <f t="shared" ref="EF49" si="1904">IF(AND(OR($F$8="Open Team Acrobatic",$F$8="Open Team Technical"),LEFT(F49,4)="Acro"),E50,"")</f>
        <v/>
      </c>
      <c r="EG49" s="88" t="str">
        <f t="shared" ref="EG49" si="1905">IF(EF49="","",IFERROR(IF($F$8="Open Team Acrobatic",IF(HLOOKUP(EF49,$DQ$12:$DT$13,2,FALSE)&gt;2,"X",""),IF(HLOOKUP(EF49,$DQ$12:$DT$13,2,FALSE)&gt;1,"X","")),""))</f>
        <v/>
      </c>
      <c r="EI49" s="88" t="str">
        <f t="shared" ref="EI49" si="1906">IF(OR(AND(F49="Hybrid - Thrust + 2 connections",EI50="T"),AND(E50="H",EI50&lt;&gt;"",EI103="X")),"X","")</f>
        <v/>
      </c>
      <c r="EK49" s="88">
        <f t="shared" ref="EK49" si="1907">IFERROR(IF(AND($E50="H",J49&lt;&gt;"",J49&lt;&gt;"ChoHY"),IF(OR(LEFT(J49,1)="T",LEFT(J49,1)="S",LEFT(J49,1)="A",LEFT(J49,1)="F",LEFT(J49,1)="C"),LEFT(J49,1),"R"),EK$18),"")</f>
        <v>1</v>
      </c>
      <c r="EL49" s="88">
        <f t="shared" ref="EL49" si="1908">IFERROR(IF(AND($E50="H",K49&lt;&gt;""),IF(OR(LEFT(K49,1)="T",LEFT(K49,1)="S",LEFT(K49,1)="A",LEFT(K49,1)="F",LEFT(K49,1)="C"),LEFT(K49,1),"R"),EL$18),"")</f>
        <v>2</v>
      </c>
      <c r="EM49" s="88">
        <f t="shared" ref="EM49" si="1909">IFERROR(IF(AND($E50="H",L49&lt;&gt;""),IF(OR(LEFT(L49,1)="T",LEFT(L49,1)="S",LEFT(L49,1)="A",LEFT(L49,1)="F",LEFT(L49,1)="C"),LEFT(L49,1),"R"),EM$18),"")</f>
        <v>3</v>
      </c>
      <c r="EN49" s="88">
        <f t="shared" ref="EN49" si="1910">IFERROR(IF(AND($E50="H",M49&lt;&gt;""),IF(OR(LEFT(M49,1)="T",LEFT(M49,1)="S",LEFT(M49,1)="A",LEFT(M49,1)="F",LEFT(M49,1)="C"),LEFT(M49,1),"R"),EN$18),"")</f>
        <v>4</v>
      </c>
      <c r="EO49" s="88">
        <f t="shared" ref="EO49" si="1911">IFERROR(IF(AND($E50="H",N49&lt;&gt;""),IF(OR(LEFT(N49,1)="T",LEFT(N49,1)="S",LEFT(N49,1)="A",LEFT(N49,1)="F",LEFT(N49,1)="C"),LEFT(N49,1),"R"),EO$18),"")</f>
        <v>5</v>
      </c>
      <c r="EP49" s="88">
        <f t="shared" ref="EP49" si="1912">IFERROR(IF(AND($E50="H",O49&lt;&gt;""),IF(OR(LEFT(O49,1)="T",LEFT(O49,1)="S",LEFT(O49,1)="A",LEFT(O49,1)="F",LEFT(O49,1)="C"),LEFT(O49,1),"R"),EP$18),"")</f>
        <v>6</v>
      </c>
      <c r="EQ49" s="88">
        <f t="shared" ref="EQ49" si="1913">IFERROR(IF(AND($E50="H",P49&lt;&gt;""),IF(OR(LEFT(P49,1)="T",LEFT(P49,1)="S",LEFT(P49,1)="A",LEFT(P49,1)="F",LEFT(P49,1)="C"),LEFT(P49,1),"R"),EQ$18),"")</f>
        <v>7</v>
      </c>
      <c r="ER49" s="88">
        <f t="shared" ref="ER49" si="1914">IFERROR(IF(AND($E50="H",Q49&lt;&gt;""),IF(OR(LEFT(Q49,1)="T",LEFT(Q49,1)="S",LEFT(Q49,1)="A",LEFT(Q49,1)="F",LEFT(Q49,1)="C"),LEFT(Q49,1),"R"),ER$18),"")</f>
        <v>8</v>
      </c>
      <c r="ES49" s="88">
        <f t="shared" ref="ES49" si="1915">IFERROR(IF(AND($E50="H",R49&lt;&gt;""),IF(OR(LEFT(R49,1)="T",LEFT(R49,1)="S",LEFT(R49,1)="A",LEFT(R49,1)="F",LEFT(R49,1)="C"),LEFT(R49,1),"R"),ES$18),"")</f>
        <v>9</v>
      </c>
      <c r="ET49" s="88">
        <f t="shared" ref="ET49" si="1916">IFERROR(IF(AND($E50="H",S49&lt;&gt;""),IF(OR(LEFT(S49,1)="T",LEFT(S49,1)="S",LEFT(S49,1)="A",LEFT(S49,1)="F",LEFT(S49,1)="C"),LEFT(S49,1),"R"),ET$18),"")</f>
        <v>10</v>
      </c>
      <c r="EU49" s="88">
        <f t="shared" ref="EU49" si="1917">IFERROR(IF(AND($E50="H",T49&lt;&gt;""),IF(OR(LEFT(T49,1)="T",LEFT(T49,1)="S",LEFT(T49,1)="A",LEFT(T49,1)="F",LEFT(T49,1)="C"),LEFT(T49,1),"R"),EU$18),"")</f>
        <v>11</v>
      </c>
      <c r="EV49" s="88">
        <f t="shared" ref="EV49" si="1918">IFERROR(IF(AND($E50="H",U49&lt;&gt;""),IF(OR(LEFT(U49,1)="T",LEFT(U49,1)="S",LEFT(U49,1)="A",LEFT(U49,1)="F",LEFT(U49,1)="C"),LEFT(U49,1),"R"),EV$18),"")</f>
        <v>12</v>
      </c>
      <c r="EW49" s="88">
        <f t="shared" ref="EW49" si="1919">IFERROR(IF(AND($E50="H",V49&lt;&gt;""),IF(OR(LEFT(V49,1)="T",LEFT(V49,1)="S",LEFT(V49,1)="A",LEFT(V49,1)="F",LEFT(V49,1)="C"),LEFT(V49,1),"R"),EW$18),"")</f>
        <v>13</v>
      </c>
      <c r="EX49" s="88">
        <f t="shared" ref="EX49" si="1920">IFERROR(IF(AND($E50="H",W49&lt;&gt;""),IF(OR(LEFT(W49,1)="T",LEFT(W49,1)="S",LEFT(W49,1)="A",LEFT(W49,1)="F",LEFT(W49,1)="C"),LEFT(W49,1),"R"),EX$18),"")</f>
        <v>14</v>
      </c>
      <c r="EY49" s="88">
        <f t="shared" ref="EY49" si="1921">IFERROR(IF(AND($E50="H",X49&lt;&gt;""),IF(OR(LEFT(X49,1)="T",LEFT(X49,1)="S",LEFT(X49,1)="A",LEFT(X49,1)="F",LEFT(X49,1)="C"),LEFT(X49,1),"R"),EY$18),"")</f>
        <v>15</v>
      </c>
      <c r="EZ49" s="88">
        <f t="shared" ref="EZ49" si="1922">IFERROR(IF(AND($E50="H",Y49&lt;&gt;""),IF(OR(LEFT(Y49,1)="T",LEFT(Y49,1)="S",LEFT(Y49,1)="A",LEFT(Y49,1)="F",LEFT(Y49,1)="C"),LEFT(Y49,1),"R"),EZ$18),"")</f>
        <v>16</v>
      </c>
      <c r="FA49" s="88">
        <f t="shared" ref="FA49" si="1923">IFERROR(IF(AND($E50="H",Z49&lt;&gt;""),IF(OR(LEFT(Z49,1)="T",LEFT(Z49,1)="S",LEFT(Z49,1)="A",LEFT(Z49,1)="F",LEFT(Z49,1)="C"),LEFT(Z49,1),"R"),FA$18),"")</f>
        <v>17</v>
      </c>
      <c r="FB49" s="88">
        <f t="shared" ref="FB49" si="1924">IFERROR(IF(AND($E50="H",AA49&lt;&gt;""),IF(OR(LEFT(AA49,1)="T",LEFT(AA49,1)="S",LEFT(AA49,1)="A",LEFT(AA49,1)="F",LEFT(AA49,1)="C"),LEFT(AA49,1),"R"),FB$18),"")</f>
        <v>18</v>
      </c>
      <c r="FC49" s="88">
        <f t="shared" ref="FC49" si="1925">IFERROR(IF(AND($E50="H",AB49&lt;&gt;""),IF(OR(LEFT(AB49,1)="T",LEFT(AB49,1)="S",LEFT(AB49,1)="A",LEFT(AB49,1)="F",LEFT(AB49,1)="C"),LEFT(AB49,1),"R"),FC$18),"")</f>
        <v>19</v>
      </c>
      <c r="FD49" s="88">
        <f t="shared" ref="FD49" si="1926">IFERROR(IF(AND($E50="H",AC49&lt;&gt;""),IF(OR(LEFT(AC49,1)="T",LEFT(AC49,1)="S",LEFT(AC49,1)="A",LEFT(AC49,1)="F",LEFT(AC49,1)="C"),LEFT(AC49,1),"R"),FD$18),"")</f>
        <v>20</v>
      </c>
      <c r="FE49" s="88">
        <f t="shared" ref="FE49" si="1927">IFERROR(IF(AND($E50="H",AD49&lt;&gt;""),IF(OR(LEFT(AD49,1)="T",LEFT(AD49,1)="S",LEFT(AD49,1)="A",LEFT(AD49,1)="F",LEFT(AD49,1)="C"),LEFT(AD49,1),"R"),FE$18),"")</f>
        <v>21</v>
      </c>
      <c r="FF49" s="88">
        <f t="shared" ref="FF49" si="1928">IFERROR(IF(AND($E50="H",AE49&lt;&gt;""),IF(OR(LEFT(AE49,1)="T",LEFT(AE49,1)="S",LEFT(AE49,1)="A",LEFT(AE49,1)="F",LEFT(AE49,1)="C"),LEFT(AE49,1),"R"),FF$18),"")</f>
        <v>22</v>
      </c>
      <c r="FG49" s="88">
        <f t="shared" ref="FG49" si="1929">IFERROR(IF(AND($E50="H",AF49&lt;&gt;""),IF(OR(LEFT(AF49,1)="T",LEFT(AF49,1)="S",LEFT(AF49,1)="A",LEFT(AF49,1)="F",LEFT(AF49,1)="C"),LEFT(AF49,1),"R"),FG$18),"")</f>
        <v>23</v>
      </c>
      <c r="FH49" s="88">
        <f t="shared" ref="FH49" si="1930">IFERROR(IF(AND($E50="H",AG49&lt;&gt;""),IF(OR(LEFT(AG49,1)="T",LEFT(AG49,1)="S",LEFT(AG49,1)="A",LEFT(AG49,1)="F",LEFT(AG49,1)="C"),LEFT(AG49,1),"R"),FH$18),"")</f>
        <v>24</v>
      </c>
      <c r="FI49" s="88">
        <f t="shared" ref="FI49" si="1931">IFERROR(IF(AND($E50="H",AH49&lt;&gt;""),IF(OR(LEFT(AH49,1)="T",LEFT(AH49,1)="S",LEFT(AH49,1)="A",LEFT(AH49,1)="F",LEFT(AH49,1)="C"),LEFT(AH49,1),"R"),FI$18),"")</f>
        <v>25</v>
      </c>
      <c r="FJ49" s="88">
        <f t="shared" ref="FJ49" si="1932">IFERROR(IF(AND($E50="H",AI49&lt;&gt;""),IF(OR(LEFT(AI49,1)="T",LEFT(AI49,1)="S",LEFT(AI49,1)="A",LEFT(AI49,1)="F",LEFT(AI49,1)="C"),LEFT(AI49,1),"R"),FJ$18),"")</f>
        <v>26</v>
      </c>
      <c r="FK49" s="88">
        <f t="shared" ref="FK49" si="1933">IFERROR(IF(AND($E50="H",AJ49&lt;&gt;""),IF(OR(LEFT(AJ49,1)="T",LEFT(AJ49,1)="S",LEFT(AJ49,1)="A",LEFT(AJ49,1)="F",LEFT(AJ49,1)="C"),LEFT(AJ49,1),"R"),FK$18),"")</f>
        <v>27</v>
      </c>
      <c r="FL49" s="88">
        <f t="shared" ref="FL49" si="1934">IFERROR(IF(AND($E50="H",AK49&lt;&gt;""),IF(OR(LEFT(AK49,1)="T",LEFT(AK49,1)="S",LEFT(AK49,1)="A",LEFT(AK49,1)="F",LEFT(AK49,1)="C"),LEFT(AK49,1),"R"),FL$18),"")</f>
        <v>28</v>
      </c>
      <c r="FM49" s="88">
        <f t="shared" ref="FM49" si="1935">IFERROR(IF(AND($E50="H",AL49&lt;&gt;""),IF(OR(LEFT(AL49,1)="T",LEFT(AL49,1)="S",LEFT(AL49,1)="A",LEFT(AL49,1)="F",LEFT(AL49,1)="C"),LEFT(AL49,1),"R"),FM$18),"")</f>
        <v>29</v>
      </c>
      <c r="FN49" s="88">
        <f t="shared" ref="FN49" si="1936">IFERROR(IF(AND($E50="H",AM49&lt;&gt;""),IF(OR(LEFT(AM49,1)="T",LEFT(AM49,1)="S",LEFT(AM49,1)="A",LEFT(AM49,1)="F",LEFT(AM49,1)="C"),LEFT(AM49,1),"R"),FN$18),"")</f>
        <v>30</v>
      </c>
      <c r="FO49" s="88"/>
      <c r="FP49" s="88"/>
      <c r="FQ49" s="88"/>
      <c r="FR49" s="285"/>
      <c r="FS49" s="285"/>
      <c r="FT49" s="285"/>
      <c r="FU49" s="285"/>
      <c r="FV49" s="285"/>
      <c r="FW49" s="285"/>
      <c r="FX49" s="285"/>
      <c r="FY49" s="285"/>
      <c r="FZ49" s="285"/>
      <c r="GA49" s="285"/>
      <c r="GB49" s="285"/>
      <c r="GC49" s="285"/>
      <c r="GD49" s="285"/>
      <c r="GE49" s="285"/>
      <c r="GF49" s="285"/>
      <c r="GG49" s="285"/>
      <c r="GH49" s="285"/>
      <c r="GI49" s="285"/>
      <c r="GJ49" s="285"/>
      <c r="GK49" s="285"/>
      <c r="GL49" s="285"/>
      <c r="GM49" s="285"/>
      <c r="GN49" s="285"/>
      <c r="GO49" s="285"/>
      <c r="GP49" s="285"/>
      <c r="GQ49" s="285"/>
      <c r="GR49" s="285"/>
      <c r="GS49" s="285"/>
      <c r="GT49" s="285"/>
      <c r="GU49" s="285"/>
      <c r="GV49" s="88"/>
      <c r="GW49" s="88">
        <f t="shared" ref="GW49" si="1937">COUNTIF($EK49:$FN49,GW$18)</f>
        <v>0</v>
      </c>
      <c r="GX49" s="88">
        <f t="shared" si="1021"/>
        <v>0</v>
      </c>
      <c r="GY49" s="88">
        <f t="shared" si="1021"/>
        <v>0</v>
      </c>
      <c r="GZ49" s="88">
        <f t="shared" si="1021"/>
        <v>0</v>
      </c>
      <c r="HA49" s="88">
        <f t="shared" si="1021"/>
        <v>0</v>
      </c>
      <c r="HB49" s="88">
        <f t="shared" si="1021"/>
        <v>0</v>
      </c>
      <c r="HC49" s="88"/>
      <c r="HD49" s="88" t="str">
        <f t="shared" ref="HD49" si="1938">IF(AND($F49="Hybrid - Thrust + 2 connections",HD50=0,LEFT($J49,1)="C",LEFT($K49,1)="C",LEFT($L49,1)="C"),"X","")</f>
        <v/>
      </c>
      <c r="HE49" s="88"/>
      <c r="HF49" s="91"/>
      <c r="HG49" s="100"/>
      <c r="HH49" s="100"/>
      <c r="HI49" s="91" t="str">
        <f t="shared" ref="HI49" si="1939">IF(E50=3,IF(_xlfn.NUMBERVALUE(LEFT(J49,1))&gt;0,_xlfn.NUMBERVALUE(LEFT(J49,1)),""),"")</f>
        <v/>
      </c>
      <c r="HK49" s="91" t="str">
        <f t="shared" ref="HK49" si="1940">IF(OR(E50="B",E50="P"),E50,"")</f>
        <v/>
      </c>
      <c r="HL49" s="91" t="str">
        <f>IF(AND(J49&lt;&gt;"",HK49&lt;&gt;""),IF(HK49="B",MATCH(J49,AcroDD!$U$3:$AE$3,0),MATCH(J49,AcroDD!$U$30:$AC$30,0)),"")</f>
        <v/>
      </c>
      <c r="HM49" s="91" t="str">
        <f t="shared" ref="HM49" si="1941">IF(AND(K49&lt;&gt;"",HK49&lt;&gt;""),K49,"")</f>
        <v/>
      </c>
      <c r="HN49" s="91" t="str">
        <f>_xlfn.LET(_xlpm.lista,IF(HK49="B",INDEX(AcroDD!$T$4:$AE$23,0,HL49+1),INDEX(AcroDD!$T$31:$AC$50,0,HL49+1)),IF(AND(OR(HK49="B",HK49="P"),HL49&lt;&gt;"",HM49&lt;&gt;""),IF(ISNUMBER(MATCH(HM49,_xlpm.lista,0)),"OK","X"),""))</f>
        <v/>
      </c>
    </row>
    <row r="50" spans="1:222" ht="12.75" customHeight="1" x14ac:dyDescent="0.35">
      <c r="A50" s="28"/>
      <c r="B50" s="29"/>
      <c r="C50" s="29"/>
      <c r="D50" s="29"/>
      <c r="E50" s="17" t="str">
        <f t="shared" ref="E50" si="1942">IF(F49="Acrobatic - Pair","PA",IF(F49="Acrobatic Airborn","A",IF(F49="Acrobatic Balance","B",IF(F49="Acrobatic Combined","C",IF(F49="Acrobatic Platform","P",IF(F49="Technical Required Element",3,IF(LEFT(F49,4)="Hybr","H","")))))))</f>
        <v/>
      </c>
      <c r="F50" s="17" t="str">
        <f>IF(AND(F49="Hybrid - Thrust + 2 connections",CR49="X"),"Hybrid - Thrust",IF(OR(E50="A",E50="B",E50="C",E50="P"),"Acrobatic",""))</f>
        <v/>
      </c>
      <c r="G50" s="31"/>
      <c r="H50" s="182" t="str">
        <f t="shared" ref="H50" si="1943">IF(E50="PA",IF(OR(LEFT(J49,1)="L",LEFT(J49,1)="S"),"A-Pair-Lift",IF(OR(LEFT(J49,1)="W",LEFT(J49,1)="T"),"A-Pair-Throw",IF(LEFT(J49,1)="J","A-Pair-Jump","A-Pair"))),IF(OR(E50="A",E50="B",E50="C",E50="P"),CONCATENATE("Acro-",E50),""))</f>
        <v/>
      </c>
      <c r="I50" s="176" t="e">
        <f>IF(OR(F49="Hybrid - Choreography (DD = 1)",LEFT(F49,5)="Trans"),0,INDEX($BY$3:$BY$9,MATCH(E50,$BX$3:$BX$9,0)))</f>
        <v>#N/A</v>
      </c>
      <c r="J50" s="171">
        <f ca="1">IFERROR(IF($H49="No DD",IF(J49="ChoHY",1,0),IF(OR(ISBLANK(J49),J49="N/A"),0,INDEX(INDIRECT(BI50),MATCH(J49,INDIRECT(BI49),0)))),0)</f>
        <v>0</v>
      </c>
      <c r="K50" s="171">
        <f t="shared" ref="K50:Y50" ca="1" si="1944">IFERROR(IF($H49="No DD",0,IF(OR(ISBLANK(K49),K49="N/A"),0,INDEX(INDIRECT(BJ50),MATCH(K49,INDIRECT(BJ49),0)))),0)</f>
        <v>0</v>
      </c>
      <c r="L50" s="171">
        <f t="shared" ca="1" si="1944"/>
        <v>0</v>
      </c>
      <c r="M50" s="171">
        <f t="shared" ca="1" si="1944"/>
        <v>0</v>
      </c>
      <c r="N50" s="171">
        <f t="shared" ca="1" si="1944"/>
        <v>0</v>
      </c>
      <c r="O50" s="171">
        <f t="shared" ca="1" si="1944"/>
        <v>0</v>
      </c>
      <c r="P50" s="171">
        <f t="shared" ca="1" si="1944"/>
        <v>0</v>
      </c>
      <c r="Q50" s="171">
        <f t="shared" ca="1" si="1944"/>
        <v>0</v>
      </c>
      <c r="R50" s="171">
        <f t="shared" ca="1" si="1944"/>
        <v>0</v>
      </c>
      <c r="S50" s="171">
        <f t="shared" ca="1" si="1944"/>
        <v>0</v>
      </c>
      <c r="T50" s="171">
        <f t="shared" ca="1" si="1944"/>
        <v>0</v>
      </c>
      <c r="U50" s="171">
        <f t="shared" ca="1" si="1944"/>
        <v>0</v>
      </c>
      <c r="V50" s="171">
        <f t="shared" ca="1" si="1944"/>
        <v>0</v>
      </c>
      <c r="W50" s="171">
        <f t="shared" ca="1" si="1944"/>
        <v>0</v>
      </c>
      <c r="X50" s="171">
        <f t="shared" ca="1" si="1944"/>
        <v>0</v>
      </c>
      <c r="Y50" s="171">
        <f t="shared" ca="1" si="1944"/>
        <v>0</v>
      </c>
      <c r="Z50" s="171">
        <f t="shared" ref="Z50" ca="1" si="1945">IFERROR(IF($H49="No DD",0,IF(OR(ISBLANK(Z49),Z49="N/A"),0,INDEX(INDIRECT(BY50),MATCH(Z49,INDIRECT(BY49),0)))),0)</f>
        <v>0</v>
      </c>
      <c r="AA50" s="171">
        <f t="shared" ref="AA50" ca="1" si="1946">IFERROR(IF($H49="No DD",0,IF(OR(ISBLANK(AA49),AA49="N/A"),0,INDEX(INDIRECT(BZ50),MATCH(AA49,INDIRECT(BZ49),0)))),0)</f>
        <v>0</v>
      </c>
      <c r="AB50" s="171">
        <f t="shared" ref="AB50" ca="1" si="1947">IFERROR(IF($H49="No DD",0,IF(OR(ISBLANK(AB49),AB49="N/A"),0,INDEX(INDIRECT(CA50),MATCH(AB49,INDIRECT(CA49),0)))),0)</f>
        <v>0</v>
      </c>
      <c r="AC50" s="171">
        <f t="shared" ref="AC50" ca="1" si="1948">IFERROR(IF($H49="No DD",0,IF(OR(ISBLANK(AC49),AC49="N/A"),0,INDEX(INDIRECT(CB50),MATCH(AC49,INDIRECT(CB49),0)))),0)</f>
        <v>0</v>
      </c>
      <c r="AD50" s="171">
        <f t="shared" ref="AD50" ca="1" si="1949">IFERROR(IF($H49="No DD",0,IF(OR(ISBLANK(AD49),AD49="N/A"),0,INDEX(INDIRECT(CC50),MATCH(AD49,INDIRECT(CC49),0)))),0)</f>
        <v>0</v>
      </c>
      <c r="AE50" s="171">
        <f t="shared" ref="AE50" ca="1" si="1950">IFERROR(IF($H49="No DD",0,IF(OR(ISBLANK(AE49),AE49="N/A"),0,INDEX(INDIRECT(CD50),MATCH(AE49,INDIRECT(CD49),0)))),0)</f>
        <v>0</v>
      </c>
      <c r="AF50" s="171">
        <f t="shared" ref="AF50" ca="1" si="1951">IFERROR(IF($H49="No DD",0,IF(OR(ISBLANK(AF49),AF49="N/A"),0,INDEX(INDIRECT(CE50),MATCH(AF49,INDIRECT(CE49),0)))),0)</f>
        <v>0</v>
      </c>
      <c r="AG50" s="171">
        <f t="shared" ref="AG50" ca="1" si="1952">IFERROR(IF($H49="No DD",0,IF(OR(ISBLANK(AG49),AG49="N/A"),0,INDEX(INDIRECT(CF50),MATCH(AG49,INDIRECT(CF49),0)))),0)</f>
        <v>0</v>
      </c>
      <c r="AH50" s="171">
        <f t="shared" ref="AH50" ca="1" si="1953">IFERROR(IF($H49="No DD",0,IF(OR(ISBLANK(AH49),AH49="N/A"),0,INDEX(INDIRECT(CG50),MATCH(AH49,INDIRECT(CG49),0)))),0)</f>
        <v>0</v>
      </c>
      <c r="AI50" s="171">
        <f t="shared" ref="AI50" ca="1" si="1954">IFERROR(IF($H49="No DD",0,IF(OR(ISBLANK(AI49),AI49="N/A"),0,INDEX(INDIRECT(CH50),MATCH(AI49,INDIRECT(CH49),0)))),0)</f>
        <v>0</v>
      </c>
      <c r="AJ50" s="171">
        <f t="shared" ref="AJ50" ca="1" si="1955">IFERROR(IF($H49="No DD",0,IF(OR(ISBLANK(AJ49),AJ49="N/A"),0,INDEX(INDIRECT(CI50),MATCH(AJ49,INDIRECT(CI49),0)))),0)</f>
        <v>0</v>
      </c>
      <c r="AK50" s="171">
        <f t="shared" ref="AK50" ca="1" si="1956">IFERROR(IF($H49="No DD",0,IF(OR(ISBLANK(AK49),AK49="N/A"),0,INDEX(INDIRECT(CJ50),MATCH(AK49,INDIRECT(CJ49),0)))),0)</f>
        <v>0</v>
      </c>
      <c r="AL50" s="171">
        <f t="shared" ref="AL50" ca="1" si="1957">IFERROR(IF($H49="No DD",0,IF(OR(ISBLANK(AL49),AL49="N/A"),0,INDEX(INDIRECT(CK50),MATCH(AL49,INDIRECT(CK49),0)))),0)</f>
        <v>0</v>
      </c>
      <c r="AM50" s="171">
        <f t="shared" ref="AM50" ca="1" si="1958">IFERROR(IF($H49="No DD",0,IF(OR(ISBLANK(AM49),AM49="N/A"),0,INDEX(INDIRECT(CL50),MATCH(AM49,INDIRECT(CL49),0)))),0)</f>
        <v>0</v>
      </c>
      <c r="AN50" s="172" t="str">
        <f>IFERROR(IF(E50="H",INDEX(HybridBonus_Value,MATCH(AN49,HybridBonus_Code,0)),""),"")</f>
        <v/>
      </c>
      <c r="AO50" s="276" t="str">
        <f t="shared" ref="AO50" si="1959">IFERROR(SUM(I50:AN50),"")</f>
        <v/>
      </c>
      <c r="AP50" s="62"/>
      <c r="AQ50" s="62"/>
      <c r="AR50" s="101"/>
      <c r="AS50" s="101"/>
      <c r="AT50" s="101"/>
      <c r="AU50" s="101"/>
      <c r="AV50" s="101"/>
      <c r="BA50" s="90"/>
      <c r="BB50" s="101"/>
      <c r="BC50" s="101"/>
      <c r="BD50" s="101"/>
      <c r="BE50" s="101"/>
      <c r="BF50" s="101"/>
      <c r="BG50" s="90"/>
      <c r="BH50" s="101"/>
      <c r="BI50" s="91" t="str">
        <f t="shared" ref="BI50" si="1960">IF($E50="H",IF($F49="Hybrid - Thrust + 2 connections","Hybrid_Mix_Req_Value","HybridDD_Value"),IF($E50=3,"TreDD_Value",IF($E50="PA","AcroPair_Value",IF(LEFT($F49,4)="Acro",CONCATENATE(BI$16,$E50,"_Value"),""))))</f>
        <v/>
      </c>
      <c r="BJ50" s="91" t="str">
        <f t="shared" ref="BJ50" si="1961">IF($E50="H",IF($F49="Hybrid - Thrust + 2 connections","Hybrid_Mix_Req_Value","HybridDD_Value"),IF($E50=3,"TreDD_Value",IF($E50="PA","AcroPair_Value",IF(LEFT($F49,4)="Acro",CONCATENATE(BJ$16,$E50,"_Value"),""))))</f>
        <v/>
      </c>
      <c r="BK50" s="91" t="str">
        <f t="shared" ref="BK50" si="1962">IF($E50="H",IF($F49="Hybrid - Thrust + 2 connections","Hybrid_Mix_Req_Value","HybridDD_Value"),IF($E50=3,"TreDD_Value",IF($E50="PA","AcroPair_Value",IF(LEFT($F49,4)="Acro",CONCATENATE(BK$16,$E50,"_Value"),""))))</f>
        <v/>
      </c>
      <c r="BL50" s="91" t="str">
        <f t="shared" ref="BL50" si="1963">IF($E50="H",IF($F49="Hybrid - Thrust + 2 connections","Hybrid_Mix_Req_Value","HybridDD_Value"),IF($E50=3,"TreDD_Value",IF($E50="PA","AcroPair_Value",IF(LEFT($F49,4)="Acro",CONCATENATE(BL$16,$E50,"_Value"),""))))</f>
        <v/>
      </c>
      <c r="BM50" s="91" t="str">
        <f t="shared" ref="BM50" si="1964">IF($E50="H",IF($F49="Hybrid - Thrust + 2 connections","Hybrid_Mix_Req_Value","HybridDD_Value"),IF($E50=3,"TreDD_Value",IF($E50="PA","AcroPair_Value",IF(LEFT($F49,4)="Acro",CONCATENATE(BM$16,$E50,"_Value"),""))))</f>
        <v/>
      </c>
      <c r="BN50" s="91" t="str">
        <f t="shared" ref="BN50" si="1965">IF($E50="H",IF($F49="Hybrid - Thrust + 2 connections","Hybrid_Mix_Req_Value","HybridDD_Value"),IF($E50=3,"TreDD_Value",IF($E50="PA","AcroPair_Value",IF(LEFT($F49,4)="Acro",CONCATENATE(BN$16,$E50,"_Value"),""))))</f>
        <v/>
      </c>
      <c r="BO50" s="91" t="str">
        <f t="shared" ref="BO50" si="1966">IF($E50="H",IF($F49="Hybrid - Thrust + 2 connections","Hybrid_Mix_Req_Value","HybridDD_Value"),IF($E50=3,"TreDD_Value",IF($E50="PA","AcroPair_Value",IF(LEFT($F49,4)="Acro",CONCATENATE(BO$16,$E50,"_Value"),""))))</f>
        <v/>
      </c>
      <c r="BP50" s="91" t="str">
        <f t="shared" ref="BP50" si="1967">IF($E50="H",IF($F49="Hybrid - Thrust + 2 connections","Hybrid_Mix_Req_Value","HybridDD_Value"),IF($E50=3,"TreDD_Value",IF($E50="PA","AcroPair_Value",IF(LEFT($F49,4)="Acro",CONCATENATE(BP$16,$E50,"_Value"),""))))</f>
        <v/>
      </c>
      <c r="BQ50" s="91" t="str">
        <f t="shared" ref="BQ50" si="1968">IF($E50="H",IF($F49="Hybrid - Thrust + 2 connections","Hybrid_Mix_Req_Value","HybridDD_Value"),IF($E50=3,"TreDD_Value",IF($E50="PA","AcroPair_Value",IF(LEFT($F49,4)="Acro",CONCATENATE(BQ$16,$E50,"_Value"),""))))</f>
        <v/>
      </c>
      <c r="BR50" s="90" t="str">
        <f t="shared" ref="BR50" si="1969">IF($E50="H",IF($F49="Hybrid - Thrust + 2 connections","Data!$BI$1:$BI$5","HybridDD_Value"),"Data!$BI$1:$BI$5")</f>
        <v>Data!$BI$1:$BI$5</v>
      </c>
      <c r="BS50" s="90" t="str">
        <f t="shared" ref="BS50" si="1970">IF($E50="H",IF($F49="Hybrid - Thrust + 2 connections","Data!$BI$1:$BI$5","HybridDD_Value"),"Data!$BI$1:$BI$5")</f>
        <v>Data!$BI$1:$BI$5</v>
      </c>
      <c r="BT50" s="90" t="str">
        <f t="shared" ref="BT50" si="1971">IF($E50="H",IF($F49="Hybrid - Thrust + 2 connections","Data!$BI$1:$BI$5","HybridDD_Value"),"Data!$BI$1:$BI$5")</f>
        <v>Data!$BI$1:$BI$5</v>
      </c>
      <c r="BU50" s="90" t="str">
        <f t="shared" ref="BU50" si="1972">IF($E50="H",IF($F49="Hybrid - Thrust + 2 connections","Data!$BI$1:$BI$5","HybridDD_Value"),"Data!$BI$1:$BI$5")</f>
        <v>Data!$BI$1:$BI$5</v>
      </c>
      <c r="BV50" s="90" t="str">
        <f t="shared" ref="BV50" si="1973">IF($E50="H",IF($F49="Hybrid - Thrust + 2 connections","Data!$BI$1:$BI$5","HybridDD_Value"),"Data!$BI$1:$BI$5")</f>
        <v>Data!$BI$1:$BI$5</v>
      </c>
      <c r="BW50" s="90" t="str">
        <f t="shared" ref="BW50" si="1974">IF($E50="H",IF($F49="Hybrid - Thrust + 2 connections","Data!$BI$1:$BI$5","HybridDD_Value"),"Data!$BI$1:$BI$5")</f>
        <v>Data!$BI$1:$BI$5</v>
      </c>
      <c r="BX50" s="90" t="str">
        <f t="shared" ref="BX50" si="1975">IF($E50="H",IF($F49="Hybrid - Thrust + 2 connections","Data!$BI$1:$BI$5","HybridDD_Value"),"Data!$BI$1:$BI$5")</f>
        <v>Data!$BI$1:$BI$5</v>
      </c>
      <c r="BY50" s="90" t="str">
        <f t="shared" ref="BY50" si="1976">IF($E50="H",IF($F49="Hybrid - Thrust + 2 connections","Data!$BI$1:$BI$5","HybridDD_Value"),"Data!$BI$1:$BI$5")</f>
        <v>Data!$BI$1:$BI$5</v>
      </c>
      <c r="BZ50" s="90" t="str">
        <f t="shared" ref="BZ50" si="1977">IF($E50="H",IF($F49="Hybrid - Thrust + 2 connections","Data!$BI$1:$BI$5","HybridDD_Value"),"Data!$BI$1:$BI$5")</f>
        <v>Data!$BI$1:$BI$5</v>
      </c>
      <c r="CA50" s="90" t="str">
        <f t="shared" ref="CA50" si="1978">IF($E50="H",IF($F49="Hybrid - Thrust + 2 connections","Data!$BI$1:$BI$5","HybridDD_Value"),"Data!$BI$1:$BI$5")</f>
        <v>Data!$BI$1:$BI$5</v>
      </c>
      <c r="CB50" s="90" t="str">
        <f t="shared" ref="CB50" si="1979">IF($E50="H",IF($F49="Hybrid - Thrust + 2 connections","Data!$BI$1:$BI$5","HybridDD_Value"),"Data!$BI$1:$BI$5")</f>
        <v>Data!$BI$1:$BI$5</v>
      </c>
      <c r="CC50" s="90" t="str">
        <f t="shared" ref="CC50" si="1980">IF($E50="H",IF($F49="Hybrid - Thrust + 2 connections","Data!$BI$1:$BI$5","HybridDD_Value"),"Data!$BI$1:$BI$5")</f>
        <v>Data!$BI$1:$BI$5</v>
      </c>
      <c r="CD50" s="90" t="str">
        <f t="shared" ref="CD50" si="1981">IF($E50="H",IF($F49="Hybrid - Thrust + 2 connections","Data!$BI$1:$BI$5","HybridDD_Value"),"Data!$BI$1:$BI$5")</f>
        <v>Data!$BI$1:$BI$5</v>
      </c>
      <c r="CE50" s="90" t="str">
        <f t="shared" ref="CE50" si="1982">IF($E50="H",IF($F49="Hybrid - Thrust + 2 connections","Data!$BI$1:$BI$5","HybridDD_Value"),"Data!$BI$1:$BI$5")</f>
        <v>Data!$BI$1:$BI$5</v>
      </c>
      <c r="CF50" s="90" t="str">
        <f t="shared" ref="CF50" si="1983">IF($E50="H",IF($F49="Hybrid - Thrust + 2 connections","Data!$BI$1:$BI$5","HybridDD_Value"),"Data!$BI$1:$BI$5")</f>
        <v>Data!$BI$1:$BI$5</v>
      </c>
      <c r="CG50" s="90" t="str">
        <f t="shared" ref="CG50" si="1984">IF($E50="H",IF($F49="Hybrid - Thrust + 2 connections","Data!$BI$1:$BI$5","HybridDD_Value"),"Data!$BI$1:$BI$5")</f>
        <v>Data!$BI$1:$BI$5</v>
      </c>
      <c r="CH50" s="90" t="str">
        <f t="shared" ref="CH50" si="1985">IF($E50="H",IF($F49="Hybrid - Thrust + 2 connections","Data!$BI$1:$BI$5","HybridDD_Value"),"Data!$BI$1:$BI$5")</f>
        <v>Data!$BI$1:$BI$5</v>
      </c>
      <c r="CI50" s="90" t="str">
        <f t="shared" ref="CI50" si="1986">IF($E50="H",IF($F49="Hybrid - Thrust + 2 connections","Data!$BI$1:$BI$5","HybridDD_Value"),"Data!$BI$1:$BI$5")</f>
        <v>Data!$BI$1:$BI$5</v>
      </c>
      <c r="CJ50" s="90" t="str">
        <f t="shared" ref="CJ50" si="1987">IF($E50="H",IF($F49="Hybrid - Thrust + 2 connections","Data!$BI$1:$BI$5","HybridDD_Value"),"Data!$BI$1:$BI$5")</f>
        <v>Data!$BI$1:$BI$5</v>
      </c>
      <c r="CK50" s="90" t="str">
        <f t="shared" ref="CK50" si="1988">IF($E50="H",IF($F49="Hybrid - Thrust + 2 connections","Data!$BI$1:$BI$5","HybridDD_Value"),"Data!$BI$1:$BI$5")</f>
        <v>Data!$BI$1:$BI$5</v>
      </c>
      <c r="CL50" s="90" t="str">
        <f t="shared" ref="CL50" si="1989">IF($E50="H",IF($F49="Hybrid - Thrust + 2 connections","Data!$BI$1:$BI$5","HybridDD_Value"),"Data!$BI$1:$BI$5")</f>
        <v>Data!$BI$1:$BI$5</v>
      </c>
      <c r="CM50" s="101"/>
      <c r="CN50" s="101"/>
      <c r="CO50" s="102" t="str">
        <f>IFERROR(IF(AND($BV$6="T",$BV$8="T",LEFT(F49,4)="Acro",AO50&gt;3),"X",IF($N$7="X",IF(AND(E50="C",AO50&gt;$CN$6),"X",IF(AND(E50="A",AO50&gt;$CN$4),"X",IF(AND(E50="B",AO50&gt;$CN$5),"X",IF(AND(E50="P",AO50&gt;$CN$7),"X","")))),"")),"")</f>
        <v/>
      </c>
      <c r="CP50" s="94"/>
      <c r="CQ50" s="91"/>
      <c r="CS50" s="91"/>
      <c r="CT50" s="91"/>
      <c r="CU50" s="91"/>
      <c r="CV50" s="91"/>
      <c r="CW50" s="91"/>
      <c r="CX50" s="91"/>
      <c r="CY50" s="91"/>
      <c r="CZ50" s="91"/>
      <c r="DD50" s="88" t="str">
        <f t="shared" si="10"/>
        <v/>
      </c>
      <c r="DE50" s="88" t="str">
        <f t="shared" si="11"/>
        <v/>
      </c>
      <c r="DF50" s="88" t="str">
        <f t="shared" si="12"/>
        <v/>
      </c>
      <c r="DG50" s="88" t="str">
        <f t="shared" si="13"/>
        <v/>
      </c>
      <c r="DO50" s="88">
        <v>32</v>
      </c>
      <c r="ED50" s="88" t="str">
        <f t="shared" si="14"/>
        <v/>
      </c>
      <c r="EE50" s="88" t="str">
        <f t="shared" si="15"/>
        <v/>
      </c>
      <c r="EI50" s="88" t="str" cm="1">
        <f t="array" ref="EI50">IFERROR(INDEX(EK50:FN50,MATCH(TRUE,INDEX((EK50:FN50&lt;&gt;""),),0)),"")</f>
        <v/>
      </c>
      <c r="EK50" s="88" t="str">
        <f t="shared" ref="EK50" si="1990">IF(F49="Hybrid - Thrust + 2 connections",IF(COUNTIF($EK49:$FN49,EK49)&gt;1,EK49,""),IF(COUNTIF($EK49:$FN49,EK49)&gt;5,EK49,""))</f>
        <v/>
      </c>
      <c r="EL50" s="88" t="str">
        <f t="shared" ref="EL50" si="1991">IF(G49="Hybrid - Thrust + 2 connections",IF(COUNTIF($EK49:$FN49,EL49)&gt;1,EL49,""),IF(COUNTIF($EK49:$FN49,EL49)&gt;5,EL49,""))</f>
        <v/>
      </c>
      <c r="EM50" s="88" t="str">
        <f t="shared" ref="EM50" si="1992">IF(H49="Hybrid - Thrust + 2 connections",IF(COUNTIF($EK49:$FN49,EM49)&gt;1,EM49,""),IF(COUNTIF($EK49:$FN49,EM49)&gt;5,EM49,""))</f>
        <v/>
      </c>
      <c r="EN50" s="88" t="str">
        <f t="shared" ref="EN50" si="1993">IF(I49="Hybrid - Thrust + 2 connections",IF(COUNTIF($EK49:$FN49,EN49)&gt;1,EN49,""),IF(COUNTIF($EK49:$FN49,EN49)&gt;5,EN49,""))</f>
        <v/>
      </c>
      <c r="EO50" s="88" t="str">
        <f t="shared" ref="EO50" si="1994">IF(J49="Hybrid - Thrust + 2 connections",IF(COUNTIF($EK49:$FN49,EO49)&gt;1,EO49,""),IF(COUNTIF($EK49:$FN49,EO49)&gt;5,EO49,""))</f>
        <v/>
      </c>
      <c r="EP50" s="88" t="str">
        <f t="shared" ref="EP50" si="1995">IF(K49="Hybrid - Thrust + 2 connections",IF(COUNTIF($EK49:$FN49,EP49)&gt;1,EP49,""),IF(COUNTIF($EK49:$FN49,EP49)&gt;5,EP49,""))</f>
        <v/>
      </c>
      <c r="EQ50" s="88" t="str">
        <f t="shared" ref="EQ50" si="1996">IF(L49="Hybrid - Thrust + 2 connections",IF(COUNTIF($EK49:$FN49,EQ49)&gt;1,EQ49,""),IF(COUNTIF($EK49:$FN49,EQ49)&gt;5,EQ49,""))</f>
        <v/>
      </c>
      <c r="ER50" s="88" t="str">
        <f t="shared" ref="ER50" si="1997">IF(M49="Hybrid - Thrust + 2 connections",IF(COUNTIF($EK49:$FN49,ER49)&gt;1,ER49,""),IF(COUNTIF($EK49:$FN49,ER49)&gt;5,ER49,""))</f>
        <v/>
      </c>
      <c r="ES50" s="88" t="str">
        <f t="shared" ref="ES50" si="1998">IF(N49="Hybrid - Thrust + 2 connections",IF(COUNTIF($EK49:$FN49,ES49)&gt;1,ES49,""),IF(COUNTIF($EK49:$FN49,ES49)&gt;5,ES49,""))</f>
        <v/>
      </c>
      <c r="ET50" s="88" t="str">
        <f t="shared" ref="ET50" si="1999">IF(O49="Hybrid - Thrust + 2 connections",IF(COUNTIF($EK49:$FN49,ET49)&gt;1,ET49,""),IF(COUNTIF($EK49:$FN49,ET49)&gt;5,ET49,""))</f>
        <v/>
      </c>
      <c r="EU50" s="88" t="str">
        <f t="shared" ref="EU50" si="2000">IF(P49="Hybrid - Thrust + 2 connections",IF(COUNTIF($EK49:$FN49,EU49)&gt;1,EU49,""),IF(COUNTIF($EK49:$FN49,EU49)&gt;5,EU49,""))</f>
        <v/>
      </c>
      <c r="EV50" s="88" t="str">
        <f t="shared" ref="EV50" si="2001">IF(Q49="Hybrid - Thrust + 2 connections",IF(COUNTIF($EK49:$FN49,EV49)&gt;1,EV49,""),IF(COUNTIF($EK49:$FN49,EV49)&gt;5,EV49,""))</f>
        <v/>
      </c>
      <c r="EW50" s="88" t="str">
        <f t="shared" ref="EW50" si="2002">IF(R49="Hybrid - Thrust + 2 connections",IF(COUNTIF($EK49:$FN49,EW49)&gt;1,EW49,""),IF(COUNTIF($EK49:$FN49,EW49)&gt;5,EW49,""))</f>
        <v/>
      </c>
      <c r="EX50" s="88" t="str">
        <f t="shared" ref="EX50" si="2003">IF(S49="Hybrid - Thrust + 2 connections",IF(COUNTIF($EK49:$FN49,EX49)&gt;1,EX49,""),IF(COUNTIF($EK49:$FN49,EX49)&gt;5,EX49,""))</f>
        <v/>
      </c>
      <c r="EY50" s="88" t="str">
        <f t="shared" ref="EY50" si="2004">IF(T49="Hybrid - Thrust + 2 connections",IF(COUNTIF($EK49:$FN49,EY49)&gt;1,EY49,""),IF(COUNTIF($EK49:$FN49,EY49)&gt;5,EY49,""))</f>
        <v/>
      </c>
      <c r="EZ50" s="88" t="str">
        <f t="shared" ref="EZ50" si="2005">IF(U49="Hybrid - Thrust + 2 connections",IF(COUNTIF($EK49:$FN49,EZ49)&gt;1,EZ49,""),IF(COUNTIF($EK49:$FN49,EZ49)&gt;5,EZ49,""))</f>
        <v/>
      </c>
      <c r="FA50" s="88" t="str">
        <f t="shared" ref="FA50" si="2006">IF(V49="Hybrid - Thrust + 2 connections",IF(COUNTIF($EK49:$FN49,FA49)&gt;1,FA49,""),IF(COUNTIF($EK49:$FN49,FA49)&gt;5,FA49,""))</f>
        <v/>
      </c>
      <c r="FB50" s="88" t="str">
        <f t="shared" ref="FB50" si="2007">IF(W49="Hybrid - Thrust + 2 connections",IF(COUNTIF($EK49:$FN49,FB49)&gt;1,FB49,""),IF(COUNTIF($EK49:$FN49,FB49)&gt;5,FB49,""))</f>
        <v/>
      </c>
      <c r="FC50" s="88" t="str">
        <f t="shared" ref="FC50" si="2008">IF(X49="Hybrid - Thrust + 2 connections",IF(COUNTIF($EK49:$FN49,FC49)&gt;1,FC49,""),IF(COUNTIF($EK49:$FN49,FC49)&gt;5,FC49,""))</f>
        <v/>
      </c>
      <c r="FD50" s="88" t="str">
        <f t="shared" ref="FD50" si="2009">IF(Y49="Hybrid - Thrust + 2 connections",IF(COUNTIF($EK49:$FN49,FD49)&gt;1,FD49,""),IF(COUNTIF($EK49:$FN49,FD49)&gt;5,FD49,""))</f>
        <v/>
      </c>
      <c r="FE50" s="88" t="str">
        <f t="shared" ref="FE50" si="2010">IF(Z49="Hybrid - Thrust + 2 connections",IF(COUNTIF($EK49:$FN49,FE49)&gt;1,FE49,""),IF(COUNTIF($EK49:$FN49,FE49)&gt;5,FE49,""))</f>
        <v/>
      </c>
      <c r="FF50" s="88" t="str">
        <f t="shared" ref="FF50" si="2011">IF(AA49="Hybrid - Thrust + 2 connections",IF(COUNTIF($EK49:$FN49,FF49)&gt;1,FF49,""),IF(COUNTIF($EK49:$FN49,FF49)&gt;5,FF49,""))</f>
        <v/>
      </c>
      <c r="FG50" s="88" t="str">
        <f t="shared" ref="FG50" si="2012">IF(AB49="Hybrid - Thrust + 2 connections",IF(COUNTIF($EK49:$FN49,FG49)&gt;1,FG49,""),IF(COUNTIF($EK49:$FN49,FG49)&gt;5,FG49,""))</f>
        <v/>
      </c>
      <c r="FH50" s="88" t="str">
        <f t="shared" ref="FH50" si="2013">IF(AC49="Hybrid - Thrust + 2 connections",IF(COUNTIF($EK49:$FN49,FH49)&gt;1,FH49,""),IF(COUNTIF($EK49:$FN49,FH49)&gt;5,FH49,""))</f>
        <v/>
      </c>
      <c r="FI50" s="88" t="str">
        <f t="shared" ref="FI50" si="2014">IF(AD49="Hybrid - Thrust + 2 connections",IF(COUNTIF($EK49:$FN49,FI49)&gt;1,FI49,""),IF(COUNTIF($EK49:$FN49,FI49)&gt;5,FI49,""))</f>
        <v/>
      </c>
      <c r="FJ50" s="88" t="str">
        <f t="shared" ref="FJ50" si="2015">IF(AE49="Hybrid - Thrust + 2 connections",IF(COUNTIF($EK49:$FN49,FJ49)&gt;1,FJ49,""),IF(COUNTIF($EK49:$FN49,FJ49)&gt;5,FJ49,""))</f>
        <v/>
      </c>
      <c r="FK50" s="88" t="str">
        <f t="shared" ref="FK50" si="2016">IF(AF49="Hybrid - Thrust + 2 connections",IF(COUNTIF($EK49:$FN49,FK49)&gt;1,FK49,""),IF(COUNTIF($EK49:$FN49,FK49)&gt;5,FK49,""))</f>
        <v/>
      </c>
      <c r="FL50" s="88" t="str">
        <f t="shared" ref="FL50" si="2017">IF(AG49="Hybrid - Thrust + 2 connections",IF(COUNTIF($EK49:$FN49,FL49)&gt;1,FL49,""),IF(COUNTIF($EK49:$FN49,FL49)&gt;5,FL49,""))</f>
        <v/>
      </c>
      <c r="FM50" s="88" t="str">
        <f t="shared" ref="FM50" si="2018">IF(AH49="Hybrid - Thrust + 2 connections",IF(COUNTIF($EK49:$FN49,FM49)&gt;1,FM49,""),IF(COUNTIF($EK49:$FN49,FM49)&gt;5,FM49,""))</f>
        <v/>
      </c>
      <c r="FN50" s="88" t="str">
        <f t="shared" ref="FN50" si="2019">IF(AI49="Hybrid - Thrust + 2 connections",IF(COUNTIF($EK49:$FN49,FN49)&gt;1,FN49,""),IF(COUNTIF($EK49:$FN49,FN49)&gt;5,FN49,""))</f>
        <v/>
      </c>
      <c r="FO50" s="88">
        <f t="shared" ref="FO50" si="2020">FO48+5</f>
        <v>75</v>
      </c>
      <c r="FP50" s="88" t="str" cm="1">
        <f t="array" ref="FP50">IF(FQ50&lt;&gt;"",LEFT(FQ50,FIND("*",FQ50)-1),INDEX($FP$75:$FP$172,FO50+1))</f>
        <v/>
      </c>
      <c r="FQ50" s="88" t="str" cm="1">
        <f t="array" ref="FQ50">INDEX($FQ$75:$FQ$172,FO50+1)</f>
        <v/>
      </c>
      <c r="FR50" s="285"/>
      <c r="FS50" s="285"/>
      <c r="FT50" s="285"/>
      <c r="FU50" s="285"/>
      <c r="FV50" s="285"/>
      <c r="FW50" s="285"/>
      <c r="FX50" s="285"/>
      <c r="FY50" s="285"/>
      <c r="FZ50" s="285"/>
      <c r="GA50" s="285"/>
      <c r="GB50" s="285"/>
      <c r="GC50" s="285"/>
      <c r="GD50" s="285"/>
      <c r="GE50" s="285"/>
      <c r="GF50" s="285"/>
      <c r="GG50" s="285"/>
      <c r="GH50" s="285"/>
      <c r="GI50" s="285"/>
      <c r="GJ50" s="285"/>
      <c r="GK50" s="285"/>
      <c r="GL50" s="285"/>
      <c r="GM50" s="285"/>
      <c r="GN50" s="285"/>
      <c r="GO50" s="285"/>
      <c r="GP50" s="285"/>
      <c r="GQ50" s="285"/>
      <c r="GR50" s="285"/>
      <c r="GS50" s="285"/>
      <c r="GT50" s="285"/>
      <c r="GU50" s="285"/>
      <c r="GV50" s="88"/>
      <c r="GW50" s="88"/>
      <c r="GX50" s="88"/>
      <c r="GY50" s="88"/>
      <c r="GZ50" s="88"/>
      <c r="HA50" s="88"/>
      <c r="HB50" s="88"/>
      <c r="HC50" s="88"/>
      <c r="HD50" s="88" t="str">
        <f>IF($F49="Hybrid - Thrust + 2 connections",COUNTBLANK(J49:L49),"")</f>
        <v/>
      </c>
      <c r="HE50" s="88"/>
      <c r="HF50" s="91"/>
      <c r="HG50" s="91"/>
      <c r="HH50" s="91"/>
      <c r="HI50" s="91"/>
    </row>
    <row r="51" spans="1:222" ht="12.75" customHeight="1" x14ac:dyDescent="0.35">
      <c r="A51" s="28" t="str">
        <f>IF(AND(E49="",A49&lt;&gt;""),IF(CP49=$CP$18,"",IF(C49&lt;&gt;"",IF(D49=59,MINUTE(CP49)+1,MINUTE(CP49)),"")),"")</f>
        <v/>
      </c>
      <c r="B51" s="29" t="str">
        <f>IF(AND(E49="",B49&lt;&gt;""),IF(CP49=$CP$18,"",IF(C49&lt;&gt;"",IF(D49=59,0,SECOND(CP49)+1),"")),"")</f>
        <v/>
      </c>
      <c r="C51" s="39"/>
      <c r="D51" s="39"/>
      <c r="E51" s="9"/>
      <c r="F51" s="40"/>
      <c r="G51" s="31" t="str">
        <f>IF(F51&lt;&gt;"",IF(OR(F51="Transition",F51="Transition - Surface Connection"),0,MAX($G$19:G50)+1),"")</f>
        <v/>
      </c>
      <c r="H51" s="43" t="str">
        <f>IFERROR(IF(E52="3","",IF(OR(F51="Hybrid - Choreography (DD = 1)",LEFT(F51,5)="Trans"),"No DD",CONCATENATE("BM = ",I52))),"")</f>
        <v/>
      </c>
      <c r="I51" s="44"/>
      <c r="J51" s="109"/>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58"/>
      <c r="AO51" s="32"/>
      <c r="AP51" s="61"/>
      <c r="AQ51" s="61"/>
      <c r="AR51" s="90"/>
      <c r="AS51" s="90"/>
      <c r="AT51" s="90"/>
      <c r="AU51" s="90"/>
      <c r="AV51" s="90"/>
      <c r="AW51" s="91" t="str">
        <f t="shared" ref="AW51" si="2021">E52</f>
        <v/>
      </c>
      <c r="AX51" s="94" t="str">
        <f t="shared" ref="AX51" si="2022">IF(AY51=0,"",TIME(0,A51,B51))</f>
        <v/>
      </c>
      <c r="AY51" s="94">
        <f t="shared" ref="AY51" si="2023">TIME(0,C51,D51)</f>
        <v>0</v>
      </c>
      <c r="AZ51" s="94" t="str">
        <f t="shared" ref="AZ51" si="2024">IFERROR(AY51-AX51,"")</f>
        <v/>
      </c>
      <c r="BA51" s="237" t="str">
        <f t="shared" ref="BA51" si="2025">IF($AX$17=0,"",IF(AND($C$10&lt;&gt;"",AW51="H",AZ51&gt;$AX$17),"X",""))</f>
        <v/>
      </c>
      <c r="BB51" s="90"/>
      <c r="BC51" s="90"/>
      <c r="BD51" s="90"/>
      <c r="BE51" s="90"/>
      <c r="BF51" s="90"/>
      <c r="BG51" s="90" t="str">
        <f>IFERROR(IF(F51&lt;&gt;"",INDEX(Parts_Active,MATCH(F51,Parts_Active,0)),""),"No")</f>
        <v/>
      </c>
      <c r="BH51" s="90"/>
      <c r="BI51" s="90" t="str">
        <f>IF($E52="H",IF($F51="Hybrid - Thrust + 2 connections","Hybrid_Mix_Req",IF($F51="Hybrid - Choreography (DD = 1)","Hybrid_ChoHY","HybridDD_Code")),IF($E52=3,"TreDD_Code",IF($E52="PA","AcroPair_Code",IF(LEFT($F51,4)="Acro",CONCATENATE(BI$16,$E52,"_Code"),"Data!$BI$1:$BI$5"))))</f>
        <v>Data!$BI$1:$BI$5</v>
      </c>
      <c r="BJ51" s="90" t="str">
        <f t="shared" ref="BJ51" si="2026">IF($E52="H",IF($F51="Hybrid - Thrust + 2 connections","Hybrid_Mix_Req",IF($F51="Hybrid - min 4 swimmers (no DD)","Data!$BI$1:$BI$5","HybridDD_Code")),IF($E52=3,"TreDD_Code",IF($E52="PA","AcroPair_Code",IF(LEFT($F51,4)="Acro",CONCATENATE(BJ$16,$E52,"_Code"),"Data!$BI$1:$BI$5"))))</f>
        <v>Data!$BI$1:$BI$5</v>
      </c>
      <c r="BK51" s="90" t="str">
        <f t="shared" si="978"/>
        <v>Data!$BI$1:$BI$5</v>
      </c>
      <c r="BL51" s="90" t="str">
        <f t="shared" si="978"/>
        <v>Data!$BI$1:$BI$5</v>
      </c>
      <c r="BM51" s="90" t="str">
        <f t="shared" si="978"/>
        <v>Data!$BI$1:$BI$5</v>
      </c>
      <c r="BN51" s="90" t="str">
        <f t="shared" si="978"/>
        <v>Data!$BI$1:$BI$5</v>
      </c>
      <c r="BO51" s="90" t="str">
        <f t="shared" si="978"/>
        <v>Data!$BI$1:$BI$5</v>
      </c>
      <c r="BP51" s="90" t="str">
        <f t="shared" si="978"/>
        <v>Data!$BI$1:$BI$5</v>
      </c>
      <c r="BQ51" s="90" t="str">
        <f t="shared" si="978"/>
        <v>Data!$BI$1:$BI$5</v>
      </c>
      <c r="BR51" s="90" t="str">
        <f t="shared" ref="BR51" si="2027">IF($E52="H",IF($F51="Hybrid - Thrust + 2 connections","Data!$BI$1:$BI$5","HybridDD_Code"),"Data!$BI$1:$BI$5")</f>
        <v>Data!$BI$1:$BI$5</v>
      </c>
      <c r="BS51" s="90" t="str">
        <f t="shared" si="445"/>
        <v>Data!$BI$1:$BI$5</v>
      </c>
      <c r="BT51" s="90" t="str">
        <f t="shared" si="445"/>
        <v>Data!$BI$1:$BI$5</v>
      </c>
      <c r="BU51" s="90" t="str">
        <f t="shared" si="445"/>
        <v>Data!$BI$1:$BI$5</v>
      </c>
      <c r="BV51" s="90" t="str">
        <f t="shared" si="445"/>
        <v>Data!$BI$1:$BI$5</v>
      </c>
      <c r="BW51" s="90" t="str">
        <f t="shared" si="445"/>
        <v>Data!$BI$1:$BI$5</v>
      </c>
      <c r="BX51" s="90" t="str">
        <f t="shared" si="445"/>
        <v>Data!$BI$1:$BI$5</v>
      </c>
      <c r="BY51" s="90" t="str">
        <f t="shared" si="445"/>
        <v>Data!$BI$1:$BI$5</v>
      </c>
      <c r="BZ51" s="90" t="str">
        <f t="shared" si="445"/>
        <v>Data!$BI$1:$BI$5</v>
      </c>
      <c r="CA51" s="90" t="str">
        <f t="shared" si="445"/>
        <v>Data!$BI$1:$BI$5</v>
      </c>
      <c r="CB51" s="90" t="str">
        <f t="shared" si="445"/>
        <v>Data!$BI$1:$BI$5</v>
      </c>
      <c r="CC51" s="90" t="str">
        <f t="shared" si="445"/>
        <v>Data!$BI$1:$BI$5</v>
      </c>
      <c r="CD51" s="90" t="str">
        <f t="shared" si="445"/>
        <v>Data!$BI$1:$BI$5</v>
      </c>
      <c r="CE51" s="90" t="str">
        <f t="shared" si="445"/>
        <v>Data!$BI$1:$BI$5</v>
      </c>
      <c r="CF51" s="90" t="str">
        <f t="shared" si="445"/>
        <v>Data!$BI$1:$BI$5</v>
      </c>
      <c r="CG51" s="90" t="str">
        <f t="shared" si="445"/>
        <v>Data!$BI$1:$BI$5</v>
      </c>
      <c r="CH51" s="90" t="str">
        <f t="shared" si="445"/>
        <v>Data!$BI$1:$BI$5</v>
      </c>
      <c r="CI51" s="90" t="str">
        <f t="shared" si="980"/>
        <v>Data!$BI$1:$BI$5</v>
      </c>
      <c r="CJ51" s="90" t="str">
        <f t="shared" si="980"/>
        <v>Data!$BI$1:$BI$5</v>
      </c>
      <c r="CK51" s="90" t="str">
        <f t="shared" si="980"/>
        <v>Data!$BI$1:$BI$5</v>
      </c>
      <c r="CL51" s="90" t="str">
        <f t="shared" si="980"/>
        <v>Data!$BI$1:$BI$5</v>
      </c>
      <c r="CM51" s="90"/>
      <c r="CN51" s="90"/>
      <c r="CO51" s="93" t="str">
        <f>IFERROR(TIME(0,A51,B51),"")</f>
        <v/>
      </c>
      <c r="CP51" s="94">
        <f>IFERROR(TIME(0,C51,D51),"")</f>
        <v>0</v>
      </c>
      <c r="CQ51" s="94" t="str">
        <f t="shared" ref="CQ51" si="2028">IF(CP51&gt;$D$12,"X","")</f>
        <v/>
      </c>
      <c r="CR51" s="88" t="str">
        <f>IF(AND(F51="Hybrid - Thrust + 2 connections",OR(LEFT(J51,1)="T",LEFT(K51,1)="T",LEFT(L51,1)="T",LEFT(PB51,1)="T",LEFT(M51,1)="T",LEFT(N51,1)="T",LEFT(O51,1)="T",LEFT(P51,1)="T",LEFT(Q51,1)="T",LEFT(R51,1)="T",LEFT(S51,1)="T",LEFT(T51,1)="T",LEFT(U51,1)="T",LEFT(V51,1)="T",LEFT(W51,1)="T",LEFT(X51,1)="T",LEFT(AK51,1)="T",LEFT(AL51,1)="T",LEFT(AM51,1)="T")),IF(OR(LEN(J51)=2,LEN(K51)=2,LEN(L51)=2,LEN(M51)=2,LEN(N51)=2,LEN(O51)=2,LEN(P51)=2,LEN(Q51)=2,LEN(R51)=2,LEN(S51)=2,LEN(T51)=2,LEN(U51)=2,LEN(V51)=2,LEN(W51)=2,LEN(X51)=2,LEN(Y51)=2,LEN(Z51)=2,LEN(AK51)=2,LEN(AL51)=2,LEN(AM51)=2),"X",""),"")</f>
        <v/>
      </c>
      <c r="CS51" s="91" t="str">
        <f>IF(F51="Hybrid",SECOND(CP51),"")</f>
        <v/>
      </c>
      <c r="CT51" s="88" t="str">
        <f>IF(LEFT(F51,4)="Acro",IF(AND(N51&lt;&gt;"",M51=RIGHT(N51,2)),"X","OK"),"")</f>
        <v/>
      </c>
      <c r="CU51" s="90" t="str">
        <f t="shared" ref="CU51:DB51" si="2029">IFERROR(IF(AND(LEFT($F51,4)="Acro",INDEX(Requ_App,MATCH(BI51,Requ_Code,0))="No"),"X",""),"")</f>
        <v/>
      </c>
      <c r="CV51" s="90" t="str">
        <f t="shared" si="2029"/>
        <v/>
      </c>
      <c r="CW51" s="90" t="str">
        <f t="shared" si="2029"/>
        <v/>
      </c>
      <c r="CX51" s="90" t="str">
        <f t="shared" si="2029"/>
        <v/>
      </c>
      <c r="CY51" s="90" t="str">
        <f t="shared" si="2029"/>
        <v/>
      </c>
      <c r="CZ51" s="90" t="str">
        <f t="shared" si="2029"/>
        <v/>
      </c>
      <c r="DA51" s="90" t="str">
        <f t="shared" si="2029"/>
        <v/>
      </c>
      <c r="DB51" s="90" t="str">
        <f t="shared" si="2029"/>
        <v/>
      </c>
      <c r="DC51" s="90" t="str">
        <f>IFERROR(IF(AND(LEFT($F51,4)="Acro",INDEX(Requ_App,MATCH(BP51,Requ_Code,0))="No"),"X",""),"")</f>
        <v/>
      </c>
      <c r="DD51" s="88" t="str">
        <f t="shared" ref="DD51:DD68" si="2030">IF(OR($E52="A",$E52="B",$E52="C",$E52="P"),"Z","")</f>
        <v/>
      </c>
      <c r="DE51" s="88" t="str">
        <f t="shared" ref="DE51:DE68" si="2031">IF(OR($E52="B",$E52="P"),"Z","")</f>
        <v/>
      </c>
      <c r="DF51" s="88" t="str">
        <f t="shared" ref="DF51:DF68" si="2032">IF(OR($E52="A",$E52="C"),"Z","")</f>
        <v/>
      </c>
      <c r="DG51" s="88" t="str">
        <f t="shared" ref="DG51:DG68" si="2033">IF(OR($E52="A",$E52="B",$E52="C",$E52="P"),"Z","")</f>
        <v/>
      </c>
      <c r="DK51" s="88">
        <f t="shared" ref="DK51" si="2034">IF(AND(E52="A",OR(Q51="Grip",Q51="Conn",Q51="Catch")),"A1",IF(AND(E52="A",OR(Q51="Hula",Q51="RetSq",Q51="RetPa")),"A2",IF(AND(E52="B",OR(Q51="Twirl",Q51="RotF")),"B1",IF(AND(E52="B",OR(Q51="Moon",Q51="Mov",Q51="Hold")),"B2",IF(AND(E52="P",OR(Q51="Porp",Q51="Splch")),"P1",IF(AND(E52="P",OR(Q51="Diva",Q51="Stand")),"P2",IF(AND(E52="P",OR(Q51="Spider",Q51="Climb")),"P3",IF(AND(E52="P",OR(Q51="Fall",Q51="FTurn")),"P4",IF(AND(E52="C",OR(Q51="Jump",Q51="Jump&gt;",Q51="On1Foot",Q51="1F&gt;1F")),"C1",IF(AND(E52="C",OR(Q51="Run",Q51="BRun")),"C2",1))))))))))</f>
        <v>1</v>
      </c>
      <c r="DL51" s="88">
        <f t="shared" ref="DL51" si="2035">IF(AND(E52="A",OR(R51="Grip",R51="Conn",R51="Catch")),"A1",IF(AND(E52="A",OR(R51="Hula",R51="RetSq",R51="RetPa")),"A2",IF(AND(E52="B",OR(R51="Twirl",R51="RotF")),"B1",IF(AND(E52="B",OR(R51="Moon",R51="Mov",R51="Hold")),"B2",IF(AND(E52="P",OR(R51="Porp",R51="Spich")),"P1",IF(AND(E52="P",OR(R51="Diva",R51="Stand")),"P2",IF(AND(E52="P",OR(R51="Spider",R51="Climb")),"P3",IF(AND(E52="P",OR(R51="Fall",R51="FTurn")),"P4",IF(AND(E52="C",OR(R51="Jump",R51="Jump&gt;",R51="On1Foot",R51="1F&gt;1F")),"C1",IF(AND(E52="C",OR(R51="Run",R51="BRun")),"C2",2))))))))))</f>
        <v>2</v>
      </c>
      <c r="DM51" s="88" t="str">
        <f t="shared" ref="DM51" si="2036">IF(AND(N51="",OR(Q51&lt;&gt;"",R51&lt;&gt;"")),"X",IF(AND(LEFT(F51,4)="Acro",Q51&lt;&gt;"",OR(Q51=R51,DK51=DL51)),IF(R51="C-Roll","","X"),IF(OR(AND(E52="A",Q51="Catch",R51&lt;&gt;"Dbl"),AND(E52="A",R51="Catch",Q51&lt;&gt;"Dbl")),"X","")))</f>
        <v/>
      </c>
      <c r="DN51" s="88" t="str">
        <f>IF(E52="PA",J51,"")</f>
        <v/>
      </c>
      <c r="DO51" s="88">
        <v>33</v>
      </c>
      <c r="DQ51" s="88" t="str">
        <f>IF(AND($E52="A",COUNTIF($DZ$19:$EA$68,DZ51)&gt;1),DZ51,"")</f>
        <v/>
      </c>
      <c r="DR51" s="88" t="str">
        <f>IF(AND($E52="A",COUNTIF($DZ$19:$EA$68,EA51)&gt;1),EA51,"")</f>
        <v/>
      </c>
      <c r="DS51" s="88" t="str">
        <f ca="1">IF(AND($E52="B",COUNTIF($J$19:$J$68,J51)&gt;1),J51,"")</f>
        <v/>
      </c>
      <c r="DT51" s="88" t="str">
        <f ca="1">IF(AND($E52="B",COUNTIF($K$19:$K$68,K51)&gt;1),K51,"")</f>
        <v/>
      </c>
      <c r="DU51" s="88" t="str">
        <f ca="1">IF(AND($E52="C",COUNTIF($J$19:$J$68,J51)&gt;1),J51,"")</f>
        <v/>
      </c>
      <c r="DV51" s="88" t="str">
        <f ca="1">IF(AND($E52="P",COUNTIF($J$19:$J$68,J51)&gt;1),J51,"")</f>
        <v/>
      </c>
      <c r="DW51" s="88" t="str">
        <f ca="1">IF(AND($E52="P",COUNTIF($K$19:$K$68,K51)&gt;1),K51,"")</f>
        <v/>
      </c>
      <c r="DX51" s="88" t="str">
        <f>IF(AND($E52="P",COUNTIF($DZ$19:$EA$68,DZ51)&gt;1),DZ51,"")</f>
        <v/>
      </c>
      <c r="DY51" s="88" t="str">
        <f>IF(AND($E52="P",COUNTIF($DZ$19:$EA$68,EA51)&gt;1),EA51,"")</f>
        <v/>
      </c>
      <c r="DZ51" s="88" t="str">
        <f>IFERROR(IF(OR(E52="A",E52="P"),M51,""),"")</f>
        <v/>
      </c>
      <c r="EA51" s="88" t="str">
        <f>IFERROR(IF(OR(E52="A",E52="P"),RIGHT(N51,2),""),"")</f>
        <v/>
      </c>
      <c r="EB51" s="88" t="str">
        <f t="shared" ref="EB51" si="2037">IF(Q51="","",IF(AND($E52="P",COUNTIF($Q$19:$R$68,Q51)&gt;1),Q51,""))</f>
        <v/>
      </c>
      <c r="EC51" s="88" t="str">
        <f t="shared" ref="EC51" si="2038">IF(R51="","",IF(AND($E52="P",COUNTIF($Q$19:$R$68,R51)&gt;1),R51,""))</f>
        <v/>
      </c>
      <c r="ED51" s="88" t="str">
        <f t="shared" si="14"/>
        <v/>
      </c>
      <c r="EE51" s="88" t="str">
        <f t="shared" si="15"/>
        <v/>
      </c>
      <c r="EF51" s="88" t="str">
        <f t="shared" ref="EF51" si="2039">IF(AND(OR($F$8="Open Team Acrobatic",$F$8="Open Team Technical"),LEFT(F51,4)="Acro"),E52,"")</f>
        <v/>
      </c>
      <c r="EG51" s="88" t="str">
        <f t="shared" ref="EG51" si="2040">IF(EF51="","",IFERROR(IF($F$8="Open Team Acrobatic",IF(HLOOKUP(EF51,$DQ$12:$DT$13,2,FALSE)&gt;2,"X",""),IF(HLOOKUP(EF51,$DQ$12:$DT$13,2,FALSE)&gt;1,"X","")),""))</f>
        <v/>
      </c>
      <c r="EI51" s="88" t="str">
        <f t="shared" ref="EI51" si="2041">IF(OR(AND(F51="Hybrid - Thrust + 2 connections",EI52="T"),AND(E52="H",EI52&lt;&gt;"",EI105="X")),"X","")</f>
        <v/>
      </c>
      <c r="EK51" s="88">
        <f t="shared" ref="EK51" si="2042">IFERROR(IF(AND($E52="H",J51&lt;&gt;"",J51&lt;&gt;"ChoHY"),IF(OR(LEFT(J51,1)="T",LEFT(J51,1)="S",LEFT(J51,1)="A",LEFT(J51,1)="F",LEFT(J51,1)="C"),LEFT(J51,1),"R"),EK$18),"")</f>
        <v>1</v>
      </c>
      <c r="EL51" s="88">
        <f t="shared" ref="EL51" si="2043">IFERROR(IF(AND($E52="H",K51&lt;&gt;""),IF(OR(LEFT(K51,1)="T",LEFT(K51,1)="S",LEFT(K51,1)="A",LEFT(K51,1)="F",LEFT(K51,1)="C"),LEFT(K51,1),"R"),EL$18),"")</f>
        <v>2</v>
      </c>
      <c r="EM51" s="88">
        <f t="shared" ref="EM51" si="2044">IFERROR(IF(AND($E52="H",L51&lt;&gt;""),IF(OR(LEFT(L51,1)="T",LEFT(L51,1)="S",LEFT(L51,1)="A",LEFT(L51,1)="F",LEFT(L51,1)="C"),LEFT(L51,1),"R"),EM$18),"")</f>
        <v>3</v>
      </c>
      <c r="EN51" s="88">
        <f t="shared" ref="EN51" si="2045">IFERROR(IF(AND($E52="H",M51&lt;&gt;""),IF(OR(LEFT(M51,1)="T",LEFT(M51,1)="S",LEFT(M51,1)="A",LEFT(M51,1)="F",LEFT(M51,1)="C"),LEFT(M51,1),"R"),EN$18),"")</f>
        <v>4</v>
      </c>
      <c r="EO51" s="88">
        <f t="shared" ref="EO51" si="2046">IFERROR(IF(AND($E52="H",N51&lt;&gt;""),IF(OR(LEFT(N51,1)="T",LEFT(N51,1)="S",LEFT(N51,1)="A",LEFT(N51,1)="F",LEFT(N51,1)="C"),LEFT(N51,1),"R"),EO$18),"")</f>
        <v>5</v>
      </c>
      <c r="EP51" s="88">
        <f t="shared" ref="EP51" si="2047">IFERROR(IF(AND($E52="H",O51&lt;&gt;""),IF(OR(LEFT(O51,1)="T",LEFT(O51,1)="S",LEFT(O51,1)="A",LEFT(O51,1)="F",LEFT(O51,1)="C"),LEFT(O51,1),"R"),EP$18),"")</f>
        <v>6</v>
      </c>
      <c r="EQ51" s="88">
        <f t="shared" ref="EQ51" si="2048">IFERROR(IF(AND($E52="H",P51&lt;&gt;""),IF(OR(LEFT(P51,1)="T",LEFT(P51,1)="S",LEFT(P51,1)="A",LEFT(P51,1)="F",LEFT(P51,1)="C"),LEFT(P51,1),"R"),EQ$18),"")</f>
        <v>7</v>
      </c>
      <c r="ER51" s="88">
        <f t="shared" ref="ER51" si="2049">IFERROR(IF(AND($E52="H",Q51&lt;&gt;""),IF(OR(LEFT(Q51,1)="T",LEFT(Q51,1)="S",LEFT(Q51,1)="A",LEFT(Q51,1)="F",LEFT(Q51,1)="C"),LEFT(Q51,1),"R"),ER$18),"")</f>
        <v>8</v>
      </c>
      <c r="ES51" s="88">
        <f t="shared" ref="ES51" si="2050">IFERROR(IF(AND($E52="H",R51&lt;&gt;""),IF(OR(LEFT(R51,1)="T",LEFT(R51,1)="S",LEFT(R51,1)="A",LEFT(R51,1)="F",LEFT(R51,1)="C"),LEFT(R51,1),"R"),ES$18),"")</f>
        <v>9</v>
      </c>
      <c r="ET51" s="88">
        <f t="shared" ref="ET51" si="2051">IFERROR(IF(AND($E52="H",S51&lt;&gt;""),IF(OR(LEFT(S51,1)="T",LEFT(S51,1)="S",LEFT(S51,1)="A",LEFT(S51,1)="F",LEFT(S51,1)="C"),LEFT(S51,1),"R"),ET$18),"")</f>
        <v>10</v>
      </c>
      <c r="EU51" s="88">
        <f t="shared" ref="EU51" si="2052">IFERROR(IF(AND($E52="H",T51&lt;&gt;""),IF(OR(LEFT(T51,1)="T",LEFT(T51,1)="S",LEFT(T51,1)="A",LEFT(T51,1)="F",LEFT(T51,1)="C"),LEFT(T51,1),"R"),EU$18),"")</f>
        <v>11</v>
      </c>
      <c r="EV51" s="88">
        <f t="shared" ref="EV51" si="2053">IFERROR(IF(AND($E52="H",U51&lt;&gt;""),IF(OR(LEFT(U51,1)="T",LEFT(U51,1)="S",LEFT(U51,1)="A",LEFT(U51,1)="F",LEFT(U51,1)="C"),LEFT(U51,1),"R"),EV$18),"")</f>
        <v>12</v>
      </c>
      <c r="EW51" s="88">
        <f t="shared" ref="EW51" si="2054">IFERROR(IF(AND($E52="H",V51&lt;&gt;""),IF(OR(LEFT(V51,1)="T",LEFT(V51,1)="S",LEFT(V51,1)="A",LEFT(V51,1)="F",LEFT(V51,1)="C"),LEFT(V51,1),"R"),EW$18),"")</f>
        <v>13</v>
      </c>
      <c r="EX51" s="88">
        <f t="shared" ref="EX51" si="2055">IFERROR(IF(AND($E52="H",W51&lt;&gt;""),IF(OR(LEFT(W51,1)="T",LEFT(W51,1)="S",LEFT(W51,1)="A",LEFT(W51,1)="F",LEFT(W51,1)="C"),LEFT(W51,1),"R"),EX$18),"")</f>
        <v>14</v>
      </c>
      <c r="EY51" s="88">
        <f t="shared" ref="EY51" si="2056">IFERROR(IF(AND($E52="H",X51&lt;&gt;""),IF(OR(LEFT(X51,1)="T",LEFT(X51,1)="S",LEFT(X51,1)="A",LEFT(X51,1)="F",LEFT(X51,1)="C"),LEFT(X51,1),"R"),EY$18),"")</f>
        <v>15</v>
      </c>
      <c r="EZ51" s="88">
        <f t="shared" ref="EZ51" si="2057">IFERROR(IF(AND($E52="H",Y51&lt;&gt;""),IF(OR(LEFT(Y51,1)="T",LEFT(Y51,1)="S",LEFT(Y51,1)="A",LEFT(Y51,1)="F",LEFT(Y51,1)="C"),LEFT(Y51,1),"R"),EZ$18),"")</f>
        <v>16</v>
      </c>
      <c r="FA51" s="88">
        <f t="shared" ref="FA51" si="2058">IFERROR(IF(AND($E52="H",Z51&lt;&gt;""),IF(OR(LEFT(Z51,1)="T",LEFT(Z51,1)="S",LEFT(Z51,1)="A",LEFT(Z51,1)="F",LEFT(Z51,1)="C"),LEFT(Z51,1),"R"),FA$18),"")</f>
        <v>17</v>
      </c>
      <c r="FB51" s="88">
        <f t="shared" ref="FB51" si="2059">IFERROR(IF(AND($E52="H",AA51&lt;&gt;""),IF(OR(LEFT(AA51,1)="T",LEFT(AA51,1)="S",LEFT(AA51,1)="A",LEFT(AA51,1)="F",LEFT(AA51,1)="C"),LEFT(AA51,1),"R"),FB$18),"")</f>
        <v>18</v>
      </c>
      <c r="FC51" s="88">
        <f t="shared" ref="FC51" si="2060">IFERROR(IF(AND($E52="H",AB51&lt;&gt;""),IF(OR(LEFT(AB51,1)="T",LEFT(AB51,1)="S",LEFT(AB51,1)="A",LEFT(AB51,1)="F",LEFT(AB51,1)="C"),LEFT(AB51,1),"R"),FC$18),"")</f>
        <v>19</v>
      </c>
      <c r="FD51" s="88">
        <f t="shared" ref="FD51" si="2061">IFERROR(IF(AND($E52="H",AC51&lt;&gt;""),IF(OR(LEFT(AC51,1)="T",LEFT(AC51,1)="S",LEFT(AC51,1)="A",LEFT(AC51,1)="F",LEFT(AC51,1)="C"),LEFT(AC51,1),"R"),FD$18),"")</f>
        <v>20</v>
      </c>
      <c r="FE51" s="88">
        <f t="shared" ref="FE51" si="2062">IFERROR(IF(AND($E52="H",AD51&lt;&gt;""),IF(OR(LEFT(AD51,1)="T",LEFT(AD51,1)="S",LEFT(AD51,1)="A",LEFT(AD51,1)="F",LEFT(AD51,1)="C"),LEFT(AD51,1),"R"),FE$18),"")</f>
        <v>21</v>
      </c>
      <c r="FF51" s="88">
        <f t="shared" ref="FF51" si="2063">IFERROR(IF(AND($E52="H",AE51&lt;&gt;""),IF(OR(LEFT(AE51,1)="T",LEFT(AE51,1)="S",LEFT(AE51,1)="A",LEFT(AE51,1)="F",LEFT(AE51,1)="C"),LEFT(AE51,1),"R"),FF$18),"")</f>
        <v>22</v>
      </c>
      <c r="FG51" s="88">
        <f t="shared" ref="FG51" si="2064">IFERROR(IF(AND($E52="H",AF51&lt;&gt;""),IF(OR(LEFT(AF51,1)="T",LEFT(AF51,1)="S",LEFT(AF51,1)="A",LEFT(AF51,1)="F",LEFT(AF51,1)="C"),LEFT(AF51,1),"R"),FG$18),"")</f>
        <v>23</v>
      </c>
      <c r="FH51" s="88">
        <f t="shared" ref="FH51" si="2065">IFERROR(IF(AND($E52="H",AG51&lt;&gt;""),IF(OR(LEFT(AG51,1)="T",LEFT(AG51,1)="S",LEFT(AG51,1)="A",LEFT(AG51,1)="F",LEFT(AG51,1)="C"),LEFT(AG51,1),"R"),FH$18),"")</f>
        <v>24</v>
      </c>
      <c r="FI51" s="88">
        <f t="shared" ref="FI51" si="2066">IFERROR(IF(AND($E52="H",AH51&lt;&gt;""),IF(OR(LEFT(AH51,1)="T",LEFT(AH51,1)="S",LEFT(AH51,1)="A",LEFT(AH51,1)="F",LEFT(AH51,1)="C"),LEFT(AH51,1),"R"),FI$18),"")</f>
        <v>25</v>
      </c>
      <c r="FJ51" s="88">
        <f t="shared" ref="FJ51" si="2067">IFERROR(IF(AND($E52="H",AI51&lt;&gt;""),IF(OR(LEFT(AI51,1)="T",LEFT(AI51,1)="S",LEFT(AI51,1)="A",LEFT(AI51,1)="F",LEFT(AI51,1)="C"),LEFT(AI51,1),"R"),FJ$18),"")</f>
        <v>26</v>
      </c>
      <c r="FK51" s="88">
        <f t="shared" ref="FK51" si="2068">IFERROR(IF(AND($E52="H",AJ51&lt;&gt;""),IF(OR(LEFT(AJ51,1)="T",LEFT(AJ51,1)="S",LEFT(AJ51,1)="A",LEFT(AJ51,1)="F",LEFT(AJ51,1)="C"),LEFT(AJ51,1),"R"),FK$18),"")</f>
        <v>27</v>
      </c>
      <c r="FL51" s="88">
        <f t="shared" ref="FL51" si="2069">IFERROR(IF(AND($E52="H",AK51&lt;&gt;""),IF(OR(LEFT(AK51,1)="T",LEFT(AK51,1)="S",LEFT(AK51,1)="A",LEFT(AK51,1)="F",LEFT(AK51,1)="C"),LEFT(AK51,1),"R"),FL$18),"")</f>
        <v>28</v>
      </c>
      <c r="FM51" s="88">
        <f t="shared" ref="FM51" si="2070">IFERROR(IF(AND($E52="H",AL51&lt;&gt;""),IF(OR(LEFT(AL51,1)="T",LEFT(AL51,1)="S",LEFT(AL51,1)="A",LEFT(AL51,1)="F",LEFT(AL51,1)="C"),LEFT(AL51,1),"R"),FM$18),"")</f>
        <v>29</v>
      </c>
      <c r="FN51" s="88">
        <f t="shared" ref="FN51" si="2071">IFERROR(IF(AND($E52="H",AM51&lt;&gt;""),IF(OR(LEFT(AM51,1)="T",LEFT(AM51,1)="S",LEFT(AM51,1)="A",LEFT(AM51,1)="F",LEFT(AM51,1)="C"),LEFT(AM51,1),"R"),FN$18),"")</f>
        <v>30</v>
      </c>
      <c r="FO51" s="88"/>
      <c r="FP51" s="88"/>
      <c r="FQ51" s="88"/>
      <c r="FR51" s="285"/>
      <c r="FS51" s="285"/>
      <c r="FT51" s="285"/>
      <c r="FU51" s="285"/>
      <c r="FV51" s="285"/>
      <c r="FW51" s="285"/>
      <c r="FX51" s="285"/>
      <c r="FY51" s="285"/>
      <c r="FZ51" s="285"/>
      <c r="GA51" s="285"/>
      <c r="GB51" s="285"/>
      <c r="GC51" s="285"/>
      <c r="GD51" s="285"/>
      <c r="GE51" s="285"/>
      <c r="GF51" s="285"/>
      <c r="GG51" s="285"/>
      <c r="GH51" s="285"/>
      <c r="GI51" s="285"/>
      <c r="GJ51" s="285"/>
      <c r="GK51" s="285"/>
      <c r="GL51" s="285"/>
      <c r="GM51" s="285"/>
      <c r="GN51" s="285"/>
      <c r="GO51" s="285"/>
      <c r="GP51" s="285"/>
      <c r="GQ51" s="285"/>
      <c r="GR51" s="285"/>
      <c r="GS51" s="285"/>
      <c r="GT51" s="285"/>
      <c r="GU51" s="285"/>
      <c r="GV51" s="88"/>
      <c r="GW51" s="88">
        <f t="shared" ref="GW51" si="2072">COUNTIF($EK51:$FN51,GW$18)</f>
        <v>0</v>
      </c>
      <c r="GX51" s="88">
        <f t="shared" si="1021"/>
        <v>0</v>
      </c>
      <c r="GY51" s="88">
        <f t="shared" si="1021"/>
        <v>0</v>
      </c>
      <c r="GZ51" s="88">
        <f t="shared" si="1021"/>
        <v>0</v>
      </c>
      <c r="HA51" s="88">
        <f t="shared" si="1021"/>
        <v>0</v>
      </c>
      <c r="HB51" s="88">
        <f t="shared" si="1021"/>
        <v>0</v>
      </c>
      <c r="HC51" s="88"/>
      <c r="HD51" s="88" t="str">
        <f t="shared" ref="HD51" si="2073">IF(AND($F51="Hybrid - Thrust + 2 connections",HD52=0,LEFT($J51,1)="C",LEFT($K51,1)="C",LEFT($L51,1)="C"),"X","")</f>
        <v/>
      </c>
      <c r="HE51" s="88"/>
      <c r="HF51" s="91"/>
      <c r="HG51" s="100"/>
      <c r="HH51" s="100"/>
      <c r="HI51" s="91" t="str">
        <f t="shared" ref="HI51" si="2074">IF(E52=3,IF(_xlfn.NUMBERVALUE(LEFT(J51,1))&gt;0,_xlfn.NUMBERVALUE(LEFT(J51,1)),""),"")</f>
        <v/>
      </c>
      <c r="HK51" s="91" t="str">
        <f t="shared" ref="HK51" si="2075">IF(OR(E52="B",E52="P"),E52,"")</f>
        <v/>
      </c>
      <c r="HL51" s="91" t="str">
        <f>IF(AND(J51&lt;&gt;"",HK51&lt;&gt;""),IF(HK51="B",MATCH(J51,AcroDD!$U$3:$AE$3,0),MATCH(J51,AcroDD!$U$30:$AC$30,0)),"")</f>
        <v/>
      </c>
      <c r="HM51" s="91" t="str">
        <f t="shared" ref="HM51" si="2076">IF(AND(K51&lt;&gt;"",HK51&lt;&gt;""),K51,"")</f>
        <v/>
      </c>
      <c r="HN51" s="91" t="str">
        <f>_xlfn.LET(_xlpm.lista,IF(HK51="B",INDEX(AcroDD!$T$4:$AE$23,0,HL51+1),INDEX(AcroDD!$T$31:$AC$50,0,HL51+1)),IF(AND(OR(HK51="B",HK51="P"),HL51&lt;&gt;"",HM51&lt;&gt;""),IF(ISNUMBER(MATCH(HM51,_xlpm.lista,0)),"OK","X"),""))</f>
        <v/>
      </c>
    </row>
    <row r="52" spans="1:222" ht="12.75" customHeight="1" x14ac:dyDescent="0.35">
      <c r="A52" s="28"/>
      <c r="B52" s="29"/>
      <c r="C52" s="29"/>
      <c r="D52" s="29"/>
      <c r="E52" s="17" t="str">
        <f t="shared" ref="E52" si="2077">IF(F51="Acrobatic - Pair","PA",IF(F51="Acrobatic Airborn","A",IF(F51="Acrobatic Balance","B",IF(F51="Acrobatic Combined","C",IF(F51="Acrobatic Platform","P",IF(F51="Technical Required Element",3,IF(LEFT(F51,4)="Hybr","H","")))))))</f>
        <v/>
      </c>
      <c r="F52" s="17" t="str">
        <f>IF(AND(F51="Hybrid - Thrust + 2 connections",CR51="X"),"Hybrid - Thrust",IF(OR(E52="A",E52="B",E52="C",E52="P"),"Acrobatic",""))</f>
        <v/>
      </c>
      <c r="G52" s="31"/>
      <c r="H52" s="182" t="str">
        <f t="shared" ref="H52" si="2078">IF(E52="PA",IF(OR(LEFT(J51,1)="L",LEFT(J51,1)="S"),"A-Pair-Lift",IF(OR(LEFT(J51,1)="W",LEFT(J51,1)="T"),"A-Pair-Throw",IF(LEFT(J51,1)="J","A-Pair-Jump","A-Pair"))),IF(OR(E52="A",E52="B",E52="C",E52="P"),CONCATENATE("Acro-",E52),""))</f>
        <v/>
      </c>
      <c r="I52" s="176" t="e">
        <f>IF(OR(F51="Hybrid - Choreography (DD = 1)",LEFT(F51,5)="Trans"),0,INDEX($BY$3:$BY$9,MATCH(E52,$BX$3:$BX$9,0)))</f>
        <v>#N/A</v>
      </c>
      <c r="J52" s="171">
        <f ca="1">IFERROR(IF($H51="No DD",IF(J51="ChoHY",1,0),IF(OR(ISBLANK(J51),J51="N/A"),0,INDEX(INDIRECT(BI52),MATCH(J51,INDIRECT(BI51),0)))),0)</f>
        <v>0</v>
      </c>
      <c r="K52" s="171">
        <f t="shared" ref="K52:Y52" ca="1" si="2079">IFERROR(IF($H51="No DD",0,IF(OR(ISBLANK(K51),K51="N/A"),0,INDEX(INDIRECT(BJ52),MATCH(K51,INDIRECT(BJ51),0)))),0)</f>
        <v>0</v>
      </c>
      <c r="L52" s="171">
        <f t="shared" ca="1" si="2079"/>
        <v>0</v>
      </c>
      <c r="M52" s="171">
        <f t="shared" ca="1" si="2079"/>
        <v>0</v>
      </c>
      <c r="N52" s="171">
        <f t="shared" ca="1" si="2079"/>
        <v>0</v>
      </c>
      <c r="O52" s="171">
        <f t="shared" ca="1" si="2079"/>
        <v>0</v>
      </c>
      <c r="P52" s="171">
        <f t="shared" ca="1" si="2079"/>
        <v>0</v>
      </c>
      <c r="Q52" s="171">
        <f t="shared" ca="1" si="2079"/>
        <v>0</v>
      </c>
      <c r="R52" s="171">
        <f t="shared" ca="1" si="2079"/>
        <v>0</v>
      </c>
      <c r="S52" s="171">
        <f t="shared" ca="1" si="2079"/>
        <v>0</v>
      </c>
      <c r="T52" s="171">
        <f t="shared" ca="1" si="2079"/>
        <v>0</v>
      </c>
      <c r="U52" s="171">
        <f t="shared" ca="1" si="2079"/>
        <v>0</v>
      </c>
      <c r="V52" s="171">
        <f t="shared" ca="1" si="2079"/>
        <v>0</v>
      </c>
      <c r="W52" s="171">
        <f t="shared" ca="1" si="2079"/>
        <v>0</v>
      </c>
      <c r="X52" s="171">
        <f t="shared" ca="1" si="2079"/>
        <v>0</v>
      </c>
      <c r="Y52" s="171">
        <f t="shared" ca="1" si="2079"/>
        <v>0</v>
      </c>
      <c r="Z52" s="171">
        <f t="shared" ref="Z52" ca="1" si="2080">IFERROR(IF($H51="No DD",0,IF(OR(ISBLANK(Z51),Z51="N/A"),0,INDEX(INDIRECT(BY52),MATCH(Z51,INDIRECT(BY51),0)))),0)</f>
        <v>0</v>
      </c>
      <c r="AA52" s="171">
        <f t="shared" ref="AA52" ca="1" si="2081">IFERROR(IF($H51="No DD",0,IF(OR(ISBLANK(AA51),AA51="N/A"),0,INDEX(INDIRECT(BZ52),MATCH(AA51,INDIRECT(BZ51),0)))),0)</f>
        <v>0</v>
      </c>
      <c r="AB52" s="171">
        <f t="shared" ref="AB52" ca="1" si="2082">IFERROR(IF($H51="No DD",0,IF(OR(ISBLANK(AB51),AB51="N/A"),0,INDEX(INDIRECT(CA52),MATCH(AB51,INDIRECT(CA51),0)))),0)</f>
        <v>0</v>
      </c>
      <c r="AC52" s="171">
        <f t="shared" ref="AC52" ca="1" si="2083">IFERROR(IF($H51="No DD",0,IF(OR(ISBLANK(AC51),AC51="N/A"),0,INDEX(INDIRECT(CB52),MATCH(AC51,INDIRECT(CB51),0)))),0)</f>
        <v>0</v>
      </c>
      <c r="AD52" s="171">
        <f t="shared" ref="AD52" ca="1" si="2084">IFERROR(IF($H51="No DD",0,IF(OR(ISBLANK(AD51),AD51="N/A"),0,INDEX(INDIRECT(CC52),MATCH(AD51,INDIRECT(CC51),0)))),0)</f>
        <v>0</v>
      </c>
      <c r="AE52" s="171">
        <f t="shared" ref="AE52" ca="1" si="2085">IFERROR(IF($H51="No DD",0,IF(OR(ISBLANK(AE51),AE51="N/A"),0,INDEX(INDIRECT(CD52),MATCH(AE51,INDIRECT(CD51),0)))),0)</f>
        <v>0</v>
      </c>
      <c r="AF52" s="171">
        <f t="shared" ref="AF52" ca="1" si="2086">IFERROR(IF($H51="No DD",0,IF(OR(ISBLANK(AF51),AF51="N/A"),0,INDEX(INDIRECT(CE52),MATCH(AF51,INDIRECT(CE51),0)))),0)</f>
        <v>0</v>
      </c>
      <c r="AG52" s="171">
        <f t="shared" ref="AG52" ca="1" si="2087">IFERROR(IF($H51="No DD",0,IF(OR(ISBLANK(AG51),AG51="N/A"),0,INDEX(INDIRECT(CF52),MATCH(AG51,INDIRECT(CF51),0)))),0)</f>
        <v>0</v>
      </c>
      <c r="AH52" s="171">
        <f t="shared" ref="AH52" ca="1" si="2088">IFERROR(IF($H51="No DD",0,IF(OR(ISBLANK(AH51),AH51="N/A"),0,INDEX(INDIRECT(CG52),MATCH(AH51,INDIRECT(CG51),0)))),0)</f>
        <v>0</v>
      </c>
      <c r="AI52" s="171">
        <f t="shared" ref="AI52" ca="1" si="2089">IFERROR(IF($H51="No DD",0,IF(OR(ISBLANK(AI51),AI51="N/A"),0,INDEX(INDIRECT(CH52),MATCH(AI51,INDIRECT(CH51),0)))),0)</f>
        <v>0</v>
      </c>
      <c r="AJ52" s="171">
        <f t="shared" ref="AJ52" ca="1" si="2090">IFERROR(IF($H51="No DD",0,IF(OR(ISBLANK(AJ51),AJ51="N/A"),0,INDEX(INDIRECT(CI52),MATCH(AJ51,INDIRECT(CI51),0)))),0)</f>
        <v>0</v>
      </c>
      <c r="AK52" s="171">
        <f t="shared" ref="AK52" ca="1" si="2091">IFERROR(IF($H51="No DD",0,IF(OR(ISBLANK(AK51),AK51="N/A"),0,INDEX(INDIRECT(CJ52),MATCH(AK51,INDIRECT(CJ51),0)))),0)</f>
        <v>0</v>
      </c>
      <c r="AL52" s="171">
        <f t="shared" ref="AL52" ca="1" si="2092">IFERROR(IF($H51="No DD",0,IF(OR(ISBLANK(AL51),AL51="N/A"),0,INDEX(INDIRECT(CK52),MATCH(AL51,INDIRECT(CK51),0)))),0)</f>
        <v>0</v>
      </c>
      <c r="AM52" s="171">
        <f t="shared" ref="AM52" ca="1" si="2093">IFERROR(IF($H51="No DD",0,IF(OR(ISBLANK(AM51),AM51="N/A"),0,INDEX(INDIRECT(CL52),MATCH(AM51,INDIRECT(CL51),0)))),0)</f>
        <v>0</v>
      </c>
      <c r="AN52" s="172" t="str">
        <f>IFERROR(IF(E52="H",INDEX(HybridBonus_Value,MATCH(AN51,HybridBonus_Code,0)),""),"")</f>
        <v/>
      </c>
      <c r="AO52" s="276" t="str">
        <f t="shared" ref="AO52" si="2094">IFERROR(SUM(I52:AN52),"")</f>
        <v/>
      </c>
      <c r="AP52" s="62"/>
      <c r="AQ52" s="62"/>
      <c r="AR52" s="101"/>
      <c r="AS52" s="101"/>
      <c r="AT52" s="101"/>
      <c r="AU52" s="101"/>
      <c r="AV52" s="101"/>
      <c r="BA52" s="90"/>
      <c r="BB52" s="101"/>
      <c r="BC52" s="101"/>
      <c r="BD52" s="101"/>
      <c r="BE52" s="101"/>
      <c r="BF52" s="101"/>
      <c r="BG52" s="90"/>
      <c r="BH52" s="101"/>
      <c r="BI52" s="91" t="str">
        <f t="shared" ref="BI52" si="2095">IF($E52="H",IF($F51="Hybrid - Thrust + 2 connections","Hybrid_Mix_Req_Value","HybridDD_Value"),IF($E52=3,"TreDD_Value",IF($E52="PA","AcroPair_Value",IF(LEFT($F51,4)="Acro",CONCATENATE(BI$16,$E52,"_Value"),""))))</f>
        <v/>
      </c>
      <c r="BJ52" s="91" t="str">
        <f t="shared" ref="BJ52" si="2096">IF($E52="H",IF($F51="Hybrid - Thrust + 2 connections","Hybrid_Mix_Req_Value","HybridDD_Value"),IF($E52=3,"TreDD_Value",IF($E52="PA","AcroPair_Value",IF(LEFT($F51,4)="Acro",CONCATENATE(BJ$16,$E52,"_Value"),""))))</f>
        <v/>
      </c>
      <c r="BK52" s="91" t="str">
        <f t="shared" ref="BK52" si="2097">IF($E52="H",IF($F51="Hybrid - Thrust + 2 connections","Hybrid_Mix_Req_Value","HybridDD_Value"),IF($E52=3,"TreDD_Value",IF($E52="PA","AcroPair_Value",IF(LEFT($F51,4)="Acro",CONCATENATE(BK$16,$E52,"_Value"),""))))</f>
        <v/>
      </c>
      <c r="BL52" s="91" t="str">
        <f t="shared" ref="BL52" si="2098">IF($E52="H",IF($F51="Hybrid - Thrust + 2 connections","Hybrid_Mix_Req_Value","HybridDD_Value"),IF($E52=3,"TreDD_Value",IF($E52="PA","AcroPair_Value",IF(LEFT($F51,4)="Acro",CONCATENATE(BL$16,$E52,"_Value"),""))))</f>
        <v/>
      </c>
      <c r="BM52" s="91" t="str">
        <f t="shared" ref="BM52" si="2099">IF($E52="H",IF($F51="Hybrid - Thrust + 2 connections","Hybrid_Mix_Req_Value","HybridDD_Value"),IF($E52=3,"TreDD_Value",IF($E52="PA","AcroPair_Value",IF(LEFT($F51,4)="Acro",CONCATENATE(BM$16,$E52,"_Value"),""))))</f>
        <v/>
      </c>
      <c r="BN52" s="91" t="str">
        <f t="shared" ref="BN52" si="2100">IF($E52="H",IF($F51="Hybrid - Thrust + 2 connections","Hybrid_Mix_Req_Value","HybridDD_Value"),IF($E52=3,"TreDD_Value",IF($E52="PA","AcroPair_Value",IF(LEFT($F51,4)="Acro",CONCATENATE(BN$16,$E52,"_Value"),""))))</f>
        <v/>
      </c>
      <c r="BO52" s="91" t="str">
        <f t="shared" ref="BO52" si="2101">IF($E52="H",IF($F51="Hybrid - Thrust + 2 connections","Hybrid_Mix_Req_Value","HybridDD_Value"),IF($E52=3,"TreDD_Value",IF($E52="PA","AcroPair_Value",IF(LEFT($F51,4)="Acro",CONCATENATE(BO$16,$E52,"_Value"),""))))</f>
        <v/>
      </c>
      <c r="BP52" s="91" t="str">
        <f t="shared" ref="BP52" si="2102">IF($E52="H",IF($F51="Hybrid - Thrust + 2 connections","Hybrid_Mix_Req_Value","HybridDD_Value"),IF($E52=3,"TreDD_Value",IF($E52="PA","AcroPair_Value",IF(LEFT($F51,4)="Acro",CONCATENATE(BP$16,$E52,"_Value"),""))))</f>
        <v/>
      </c>
      <c r="BQ52" s="91" t="str">
        <f t="shared" ref="BQ52" si="2103">IF($E52="H",IF($F51="Hybrid - Thrust + 2 connections","Hybrid_Mix_Req_Value","HybridDD_Value"),IF($E52=3,"TreDD_Value",IF($E52="PA","AcroPair_Value",IF(LEFT($F51,4)="Acro",CONCATENATE(BQ$16,$E52,"_Value"),""))))</f>
        <v/>
      </c>
      <c r="BR52" s="90" t="str">
        <f t="shared" ref="BR52" si="2104">IF($E52="H",IF($F51="Hybrid - Thrust + 2 connections","Data!$BI$1:$BI$5","HybridDD_Value"),"Data!$BI$1:$BI$5")</f>
        <v>Data!$BI$1:$BI$5</v>
      </c>
      <c r="BS52" s="90" t="str">
        <f t="shared" ref="BS52" si="2105">IF($E52="H",IF($F51="Hybrid - Thrust + 2 connections","Data!$BI$1:$BI$5","HybridDD_Value"),"Data!$BI$1:$BI$5")</f>
        <v>Data!$BI$1:$BI$5</v>
      </c>
      <c r="BT52" s="90" t="str">
        <f t="shared" ref="BT52" si="2106">IF($E52="H",IF($F51="Hybrid - Thrust + 2 connections","Data!$BI$1:$BI$5","HybridDD_Value"),"Data!$BI$1:$BI$5")</f>
        <v>Data!$BI$1:$BI$5</v>
      </c>
      <c r="BU52" s="90" t="str">
        <f t="shared" ref="BU52" si="2107">IF($E52="H",IF($F51="Hybrid - Thrust + 2 connections","Data!$BI$1:$BI$5","HybridDD_Value"),"Data!$BI$1:$BI$5")</f>
        <v>Data!$BI$1:$BI$5</v>
      </c>
      <c r="BV52" s="90" t="str">
        <f t="shared" ref="BV52" si="2108">IF($E52="H",IF($F51="Hybrid - Thrust + 2 connections","Data!$BI$1:$BI$5","HybridDD_Value"),"Data!$BI$1:$BI$5")</f>
        <v>Data!$BI$1:$BI$5</v>
      </c>
      <c r="BW52" s="90" t="str">
        <f t="shared" ref="BW52" si="2109">IF($E52="H",IF($F51="Hybrid - Thrust + 2 connections","Data!$BI$1:$BI$5","HybridDD_Value"),"Data!$BI$1:$BI$5")</f>
        <v>Data!$BI$1:$BI$5</v>
      </c>
      <c r="BX52" s="90" t="str">
        <f t="shared" ref="BX52" si="2110">IF($E52="H",IF($F51="Hybrid - Thrust + 2 connections","Data!$BI$1:$BI$5","HybridDD_Value"),"Data!$BI$1:$BI$5")</f>
        <v>Data!$BI$1:$BI$5</v>
      </c>
      <c r="BY52" s="90" t="str">
        <f t="shared" ref="BY52" si="2111">IF($E52="H",IF($F51="Hybrid - Thrust + 2 connections","Data!$BI$1:$BI$5","HybridDD_Value"),"Data!$BI$1:$BI$5")</f>
        <v>Data!$BI$1:$BI$5</v>
      </c>
      <c r="BZ52" s="90" t="str">
        <f t="shared" ref="BZ52" si="2112">IF($E52="H",IF($F51="Hybrid - Thrust + 2 connections","Data!$BI$1:$BI$5","HybridDD_Value"),"Data!$BI$1:$BI$5")</f>
        <v>Data!$BI$1:$BI$5</v>
      </c>
      <c r="CA52" s="90" t="str">
        <f t="shared" ref="CA52" si="2113">IF($E52="H",IF($F51="Hybrid - Thrust + 2 connections","Data!$BI$1:$BI$5","HybridDD_Value"),"Data!$BI$1:$BI$5")</f>
        <v>Data!$BI$1:$BI$5</v>
      </c>
      <c r="CB52" s="90" t="str">
        <f t="shared" ref="CB52" si="2114">IF($E52="H",IF($F51="Hybrid - Thrust + 2 connections","Data!$BI$1:$BI$5","HybridDD_Value"),"Data!$BI$1:$BI$5")</f>
        <v>Data!$BI$1:$BI$5</v>
      </c>
      <c r="CC52" s="90" t="str">
        <f t="shared" ref="CC52" si="2115">IF($E52="H",IF($F51="Hybrid - Thrust + 2 connections","Data!$BI$1:$BI$5","HybridDD_Value"),"Data!$BI$1:$BI$5")</f>
        <v>Data!$BI$1:$BI$5</v>
      </c>
      <c r="CD52" s="90" t="str">
        <f t="shared" ref="CD52" si="2116">IF($E52="H",IF($F51="Hybrid - Thrust + 2 connections","Data!$BI$1:$BI$5","HybridDD_Value"),"Data!$BI$1:$BI$5")</f>
        <v>Data!$BI$1:$BI$5</v>
      </c>
      <c r="CE52" s="90" t="str">
        <f t="shared" ref="CE52" si="2117">IF($E52="H",IF($F51="Hybrid - Thrust + 2 connections","Data!$BI$1:$BI$5","HybridDD_Value"),"Data!$BI$1:$BI$5")</f>
        <v>Data!$BI$1:$BI$5</v>
      </c>
      <c r="CF52" s="90" t="str">
        <f t="shared" ref="CF52" si="2118">IF($E52="H",IF($F51="Hybrid - Thrust + 2 connections","Data!$BI$1:$BI$5","HybridDD_Value"),"Data!$BI$1:$BI$5")</f>
        <v>Data!$BI$1:$BI$5</v>
      </c>
      <c r="CG52" s="90" t="str">
        <f t="shared" ref="CG52" si="2119">IF($E52="H",IF($F51="Hybrid - Thrust + 2 connections","Data!$BI$1:$BI$5","HybridDD_Value"),"Data!$BI$1:$BI$5")</f>
        <v>Data!$BI$1:$BI$5</v>
      </c>
      <c r="CH52" s="90" t="str">
        <f t="shared" ref="CH52" si="2120">IF($E52="H",IF($F51="Hybrid - Thrust + 2 connections","Data!$BI$1:$BI$5","HybridDD_Value"),"Data!$BI$1:$BI$5")</f>
        <v>Data!$BI$1:$BI$5</v>
      </c>
      <c r="CI52" s="90" t="str">
        <f t="shared" ref="CI52" si="2121">IF($E52="H",IF($F51="Hybrid - Thrust + 2 connections","Data!$BI$1:$BI$5","HybridDD_Value"),"Data!$BI$1:$BI$5")</f>
        <v>Data!$BI$1:$BI$5</v>
      </c>
      <c r="CJ52" s="90" t="str">
        <f t="shared" ref="CJ52" si="2122">IF($E52="H",IF($F51="Hybrid - Thrust + 2 connections","Data!$BI$1:$BI$5","HybridDD_Value"),"Data!$BI$1:$BI$5")</f>
        <v>Data!$BI$1:$BI$5</v>
      </c>
      <c r="CK52" s="90" t="str">
        <f t="shared" ref="CK52" si="2123">IF($E52="H",IF($F51="Hybrid - Thrust + 2 connections","Data!$BI$1:$BI$5","HybridDD_Value"),"Data!$BI$1:$BI$5")</f>
        <v>Data!$BI$1:$BI$5</v>
      </c>
      <c r="CL52" s="90" t="str">
        <f t="shared" ref="CL52" si="2124">IF($E52="H",IF($F51="Hybrid - Thrust + 2 connections","Data!$BI$1:$BI$5","HybridDD_Value"),"Data!$BI$1:$BI$5")</f>
        <v>Data!$BI$1:$BI$5</v>
      </c>
      <c r="CM52" s="101"/>
      <c r="CN52" s="101"/>
      <c r="CO52" s="102" t="str">
        <f>IFERROR(IF(AND($BV$6="T",$BV$8="T",LEFT(F51,4)="Acro",AO52&gt;3),"X",IF($N$7="X",IF(AND(E52="C",AO52&gt;$CN$6),"X",IF(AND(E52="A",AO52&gt;$CN$4),"X",IF(AND(E52="B",AO52&gt;$CN$5),"X",IF(AND(E52="P",AO52&gt;$CN$7),"X","")))),"")),"")</f>
        <v/>
      </c>
      <c r="CP52" s="94"/>
      <c r="CQ52" s="91"/>
      <c r="CS52" s="91"/>
      <c r="CT52" s="91"/>
      <c r="CU52" s="91"/>
      <c r="CV52" s="91"/>
      <c r="CW52" s="91"/>
      <c r="CX52" s="91"/>
      <c r="CY52" s="91"/>
      <c r="CZ52" s="91"/>
      <c r="DD52" s="88" t="str">
        <f t="shared" si="2030"/>
        <v/>
      </c>
      <c r="DE52" s="88" t="str">
        <f t="shared" si="2031"/>
        <v/>
      </c>
      <c r="DF52" s="88" t="str">
        <f t="shared" si="2032"/>
        <v/>
      </c>
      <c r="DG52" s="88" t="str">
        <f t="shared" si="2033"/>
        <v/>
      </c>
      <c r="DO52" s="88">
        <v>34</v>
      </c>
      <c r="ED52" s="88" t="str">
        <f t="shared" si="14"/>
        <v/>
      </c>
      <c r="EE52" s="88" t="str">
        <f t="shared" si="15"/>
        <v/>
      </c>
      <c r="EI52" s="88" t="str" cm="1">
        <f t="array" ref="EI52">IFERROR(INDEX(EK52:FN52,MATCH(TRUE,INDEX((EK52:FN52&lt;&gt;""),),0)),"")</f>
        <v/>
      </c>
      <c r="EK52" s="88" t="str">
        <f t="shared" ref="EK52" si="2125">IF(F51="Hybrid - Thrust + 2 connections",IF(COUNTIF($EK51:$FN51,EK51)&gt;1,EK51,""),IF(COUNTIF($EK51:$FN51,EK51)&gt;5,EK51,""))</f>
        <v/>
      </c>
      <c r="EL52" s="88" t="str">
        <f t="shared" ref="EL52" si="2126">IF(G51="Hybrid - Thrust + 2 connections",IF(COUNTIF($EK51:$FN51,EL51)&gt;1,EL51,""),IF(COUNTIF($EK51:$FN51,EL51)&gt;5,EL51,""))</f>
        <v/>
      </c>
      <c r="EM52" s="88" t="str">
        <f t="shared" ref="EM52" si="2127">IF(H51="Hybrid - Thrust + 2 connections",IF(COUNTIF($EK51:$FN51,EM51)&gt;1,EM51,""),IF(COUNTIF($EK51:$FN51,EM51)&gt;5,EM51,""))</f>
        <v/>
      </c>
      <c r="EN52" s="88" t="str">
        <f t="shared" ref="EN52" si="2128">IF(I51="Hybrid - Thrust + 2 connections",IF(COUNTIF($EK51:$FN51,EN51)&gt;1,EN51,""),IF(COUNTIF($EK51:$FN51,EN51)&gt;5,EN51,""))</f>
        <v/>
      </c>
      <c r="EO52" s="88" t="str">
        <f t="shared" ref="EO52" si="2129">IF(J51="Hybrid - Thrust + 2 connections",IF(COUNTIF($EK51:$FN51,EO51)&gt;1,EO51,""),IF(COUNTIF($EK51:$FN51,EO51)&gt;5,EO51,""))</f>
        <v/>
      </c>
      <c r="EP52" s="88" t="str">
        <f t="shared" ref="EP52" si="2130">IF(K51="Hybrid - Thrust + 2 connections",IF(COUNTIF($EK51:$FN51,EP51)&gt;1,EP51,""),IF(COUNTIF($EK51:$FN51,EP51)&gt;5,EP51,""))</f>
        <v/>
      </c>
      <c r="EQ52" s="88" t="str">
        <f t="shared" ref="EQ52" si="2131">IF(L51="Hybrid - Thrust + 2 connections",IF(COUNTIF($EK51:$FN51,EQ51)&gt;1,EQ51,""),IF(COUNTIF($EK51:$FN51,EQ51)&gt;5,EQ51,""))</f>
        <v/>
      </c>
      <c r="ER52" s="88" t="str">
        <f t="shared" ref="ER52" si="2132">IF(M51="Hybrid - Thrust + 2 connections",IF(COUNTIF($EK51:$FN51,ER51)&gt;1,ER51,""),IF(COUNTIF($EK51:$FN51,ER51)&gt;5,ER51,""))</f>
        <v/>
      </c>
      <c r="ES52" s="88" t="str">
        <f t="shared" ref="ES52" si="2133">IF(N51="Hybrid - Thrust + 2 connections",IF(COUNTIF($EK51:$FN51,ES51)&gt;1,ES51,""),IF(COUNTIF($EK51:$FN51,ES51)&gt;5,ES51,""))</f>
        <v/>
      </c>
      <c r="ET52" s="88" t="str">
        <f t="shared" ref="ET52" si="2134">IF(O51="Hybrid - Thrust + 2 connections",IF(COUNTIF($EK51:$FN51,ET51)&gt;1,ET51,""),IF(COUNTIF($EK51:$FN51,ET51)&gt;5,ET51,""))</f>
        <v/>
      </c>
      <c r="EU52" s="88" t="str">
        <f t="shared" ref="EU52" si="2135">IF(P51="Hybrid - Thrust + 2 connections",IF(COUNTIF($EK51:$FN51,EU51)&gt;1,EU51,""),IF(COUNTIF($EK51:$FN51,EU51)&gt;5,EU51,""))</f>
        <v/>
      </c>
      <c r="EV52" s="88" t="str">
        <f t="shared" ref="EV52" si="2136">IF(Q51="Hybrid - Thrust + 2 connections",IF(COUNTIF($EK51:$FN51,EV51)&gt;1,EV51,""),IF(COUNTIF($EK51:$FN51,EV51)&gt;5,EV51,""))</f>
        <v/>
      </c>
      <c r="EW52" s="88" t="str">
        <f t="shared" ref="EW52" si="2137">IF(R51="Hybrid - Thrust + 2 connections",IF(COUNTIF($EK51:$FN51,EW51)&gt;1,EW51,""),IF(COUNTIF($EK51:$FN51,EW51)&gt;5,EW51,""))</f>
        <v/>
      </c>
      <c r="EX52" s="88" t="str">
        <f t="shared" ref="EX52" si="2138">IF(S51="Hybrid - Thrust + 2 connections",IF(COUNTIF($EK51:$FN51,EX51)&gt;1,EX51,""),IF(COUNTIF($EK51:$FN51,EX51)&gt;5,EX51,""))</f>
        <v/>
      </c>
      <c r="EY52" s="88" t="str">
        <f t="shared" ref="EY52" si="2139">IF(T51="Hybrid - Thrust + 2 connections",IF(COUNTIF($EK51:$FN51,EY51)&gt;1,EY51,""),IF(COUNTIF($EK51:$FN51,EY51)&gt;5,EY51,""))</f>
        <v/>
      </c>
      <c r="EZ52" s="88" t="str">
        <f t="shared" ref="EZ52" si="2140">IF(U51="Hybrid - Thrust + 2 connections",IF(COUNTIF($EK51:$FN51,EZ51)&gt;1,EZ51,""),IF(COUNTIF($EK51:$FN51,EZ51)&gt;5,EZ51,""))</f>
        <v/>
      </c>
      <c r="FA52" s="88" t="str">
        <f t="shared" ref="FA52" si="2141">IF(V51="Hybrid - Thrust + 2 connections",IF(COUNTIF($EK51:$FN51,FA51)&gt;1,FA51,""),IF(COUNTIF($EK51:$FN51,FA51)&gt;5,FA51,""))</f>
        <v/>
      </c>
      <c r="FB52" s="88" t="str">
        <f t="shared" ref="FB52" si="2142">IF(W51="Hybrid - Thrust + 2 connections",IF(COUNTIF($EK51:$FN51,FB51)&gt;1,FB51,""),IF(COUNTIF($EK51:$FN51,FB51)&gt;5,FB51,""))</f>
        <v/>
      </c>
      <c r="FC52" s="88" t="str">
        <f t="shared" ref="FC52" si="2143">IF(X51="Hybrid - Thrust + 2 connections",IF(COUNTIF($EK51:$FN51,FC51)&gt;1,FC51,""),IF(COUNTIF($EK51:$FN51,FC51)&gt;5,FC51,""))</f>
        <v/>
      </c>
      <c r="FD52" s="88" t="str">
        <f t="shared" ref="FD52" si="2144">IF(Y51="Hybrid - Thrust + 2 connections",IF(COUNTIF($EK51:$FN51,FD51)&gt;1,FD51,""),IF(COUNTIF($EK51:$FN51,FD51)&gt;5,FD51,""))</f>
        <v/>
      </c>
      <c r="FE52" s="88" t="str">
        <f t="shared" ref="FE52" si="2145">IF(Z51="Hybrid - Thrust + 2 connections",IF(COUNTIF($EK51:$FN51,FE51)&gt;1,FE51,""),IF(COUNTIF($EK51:$FN51,FE51)&gt;5,FE51,""))</f>
        <v/>
      </c>
      <c r="FF52" s="88" t="str">
        <f t="shared" ref="FF52" si="2146">IF(AA51="Hybrid - Thrust + 2 connections",IF(COUNTIF($EK51:$FN51,FF51)&gt;1,FF51,""),IF(COUNTIF($EK51:$FN51,FF51)&gt;5,FF51,""))</f>
        <v/>
      </c>
      <c r="FG52" s="88" t="str">
        <f t="shared" ref="FG52" si="2147">IF(AB51="Hybrid - Thrust + 2 connections",IF(COUNTIF($EK51:$FN51,FG51)&gt;1,FG51,""),IF(COUNTIF($EK51:$FN51,FG51)&gt;5,FG51,""))</f>
        <v/>
      </c>
      <c r="FH52" s="88" t="str">
        <f t="shared" ref="FH52" si="2148">IF(AC51="Hybrid - Thrust + 2 connections",IF(COUNTIF($EK51:$FN51,FH51)&gt;1,FH51,""),IF(COUNTIF($EK51:$FN51,FH51)&gt;5,FH51,""))</f>
        <v/>
      </c>
      <c r="FI52" s="88" t="str">
        <f t="shared" ref="FI52" si="2149">IF(AD51="Hybrid - Thrust + 2 connections",IF(COUNTIF($EK51:$FN51,FI51)&gt;1,FI51,""),IF(COUNTIF($EK51:$FN51,FI51)&gt;5,FI51,""))</f>
        <v/>
      </c>
      <c r="FJ52" s="88" t="str">
        <f t="shared" ref="FJ52" si="2150">IF(AE51="Hybrid - Thrust + 2 connections",IF(COUNTIF($EK51:$FN51,FJ51)&gt;1,FJ51,""),IF(COUNTIF($EK51:$FN51,FJ51)&gt;5,FJ51,""))</f>
        <v/>
      </c>
      <c r="FK52" s="88" t="str">
        <f t="shared" ref="FK52" si="2151">IF(AF51="Hybrid - Thrust + 2 connections",IF(COUNTIF($EK51:$FN51,FK51)&gt;1,FK51,""),IF(COUNTIF($EK51:$FN51,FK51)&gt;5,FK51,""))</f>
        <v/>
      </c>
      <c r="FL52" s="88" t="str">
        <f t="shared" ref="FL52" si="2152">IF(AG51="Hybrid - Thrust + 2 connections",IF(COUNTIF($EK51:$FN51,FL51)&gt;1,FL51,""),IF(COUNTIF($EK51:$FN51,FL51)&gt;5,FL51,""))</f>
        <v/>
      </c>
      <c r="FM52" s="88" t="str">
        <f t="shared" ref="FM52" si="2153">IF(AH51="Hybrid - Thrust + 2 connections",IF(COUNTIF($EK51:$FN51,FM51)&gt;1,FM51,""),IF(COUNTIF($EK51:$FN51,FM51)&gt;5,FM51,""))</f>
        <v/>
      </c>
      <c r="FN52" s="88" t="str">
        <f t="shared" ref="FN52" si="2154">IF(AI51="Hybrid - Thrust + 2 connections",IF(COUNTIF($EK51:$FN51,FN51)&gt;1,FN51,""),IF(COUNTIF($EK51:$FN51,FN51)&gt;5,FN51,""))</f>
        <v/>
      </c>
      <c r="FO52" s="88">
        <f t="shared" ref="FO52" si="2155">FO50+5</f>
        <v>80</v>
      </c>
      <c r="FP52" s="88" t="str" cm="1">
        <f t="array" ref="FP52">IF(FQ52&lt;&gt;"",LEFT(FQ52,FIND("*",FQ52)-1),INDEX($FP$75:$FP$172,FO52+1))</f>
        <v/>
      </c>
      <c r="FQ52" s="88" t="str" cm="1">
        <f t="array" ref="FQ52">INDEX($FQ$75:$FQ$172,FO52+1)</f>
        <v/>
      </c>
      <c r="FR52" s="285"/>
      <c r="FS52" s="285"/>
      <c r="FT52" s="285"/>
      <c r="FU52" s="285"/>
      <c r="FV52" s="285"/>
      <c r="FW52" s="285"/>
      <c r="FX52" s="285"/>
      <c r="FY52" s="285"/>
      <c r="FZ52" s="285"/>
      <c r="GA52" s="285"/>
      <c r="GB52" s="285"/>
      <c r="GC52" s="285"/>
      <c r="GD52" s="285"/>
      <c r="GE52" s="285"/>
      <c r="GF52" s="285"/>
      <c r="GG52" s="285"/>
      <c r="GH52" s="285"/>
      <c r="GI52" s="285"/>
      <c r="GJ52" s="285"/>
      <c r="GK52" s="285"/>
      <c r="GL52" s="285"/>
      <c r="GM52" s="285"/>
      <c r="GN52" s="285"/>
      <c r="GO52" s="285"/>
      <c r="GP52" s="285"/>
      <c r="GQ52" s="285"/>
      <c r="GR52" s="285"/>
      <c r="GS52" s="285"/>
      <c r="GT52" s="285"/>
      <c r="GU52" s="285"/>
      <c r="GV52" s="88"/>
      <c r="GW52" s="88"/>
      <c r="GX52" s="88"/>
      <c r="GY52" s="88"/>
      <c r="GZ52" s="88"/>
      <c r="HA52" s="88"/>
      <c r="HB52" s="88"/>
      <c r="HC52" s="88"/>
      <c r="HD52" s="88" t="str">
        <f>IF($F51="Hybrid - Thrust + 2 connections",COUNTBLANK(J51:L51),"")</f>
        <v/>
      </c>
      <c r="HE52" s="88"/>
      <c r="HF52" s="91"/>
      <c r="HG52" s="91"/>
      <c r="HH52" s="91"/>
      <c r="HI52" s="91"/>
    </row>
    <row r="53" spans="1:222" ht="12.75" customHeight="1" x14ac:dyDescent="0.35">
      <c r="A53" s="28" t="str">
        <f>IF(AND(E51="",A51&lt;&gt;""),IF(CP51=$CP$18,"",IF(C51&lt;&gt;"",IF(D51=59,MINUTE(CP51)+1,MINUTE(CP51)),"")),"")</f>
        <v/>
      </c>
      <c r="B53" s="29" t="str">
        <f>IF(AND(E51="",B51&lt;&gt;""),IF(CP51=$CP$18,"",IF(C51&lt;&gt;"",IF(D51=59,0,SECOND(CP51)+1),"")),"")</f>
        <v/>
      </c>
      <c r="C53" s="39"/>
      <c r="D53" s="39"/>
      <c r="E53" s="9"/>
      <c r="F53" s="40"/>
      <c r="G53" s="31" t="str">
        <f>IF(F53&lt;&gt;"",IF(OR(F53="Transition",F53="Transition - Surface Connection"),0,MAX($G$19:G52)+1),"")</f>
        <v/>
      </c>
      <c r="H53" s="43" t="str">
        <f>IFERROR(IF(E54="3","",IF(OR(F53="Hybrid - Choreography (DD = 1)",LEFT(F53,5)="Trans"),"No DD",CONCATENATE("BM = ",I54))),"")</f>
        <v/>
      </c>
      <c r="I53" s="44"/>
      <c r="J53" s="109"/>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58"/>
      <c r="AO53" s="32"/>
      <c r="AP53" s="61"/>
      <c r="AQ53" s="61"/>
      <c r="AR53" s="90"/>
      <c r="AS53" s="90"/>
      <c r="AT53" s="90"/>
      <c r="AU53" s="90"/>
      <c r="AV53" s="90"/>
      <c r="AW53" s="91" t="str">
        <f t="shared" ref="AW53" si="2156">E54</f>
        <v/>
      </c>
      <c r="AX53" s="94" t="str">
        <f t="shared" ref="AX53" si="2157">IF(AY53=0,"",TIME(0,A53,B53))</f>
        <v/>
      </c>
      <c r="AY53" s="94">
        <f t="shared" ref="AY53" si="2158">TIME(0,C53,D53)</f>
        <v>0</v>
      </c>
      <c r="AZ53" s="94" t="str">
        <f t="shared" ref="AZ53" si="2159">IFERROR(AY53-AX53,"")</f>
        <v/>
      </c>
      <c r="BA53" s="237" t="str">
        <f t="shared" ref="BA53" si="2160">IF($AX$17=0,"",IF(AND($C$10&lt;&gt;"",AW53="H",AZ53&gt;$AX$17),"X",""))</f>
        <v/>
      </c>
      <c r="BB53" s="90"/>
      <c r="BC53" s="90"/>
      <c r="BD53" s="90"/>
      <c r="BE53" s="90"/>
      <c r="BF53" s="90"/>
      <c r="BG53" s="90" t="str">
        <f>IFERROR(IF(F53&lt;&gt;"",INDEX(Parts_Active,MATCH(F53,Parts_Active,0)),""),"No")</f>
        <v/>
      </c>
      <c r="BH53" s="90"/>
      <c r="BI53" s="90" t="str">
        <f>IF($E54="H",IF($F53="Hybrid - Thrust + 2 connections","Hybrid_Mix_Req",IF($F53="Hybrid - Choreography (DD = 1)","Hybrid_ChoHY","HybridDD_Code")),IF($E54=3,"TreDD_Code",IF($E54="PA","AcroPair_Code",IF(LEFT($F53,4)="Acro",CONCATENATE(BI$16,$E54,"_Code"),"Data!$BI$1:$BI$5"))))</f>
        <v>Data!$BI$1:$BI$5</v>
      </c>
      <c r="BJ53" s="90" t="str">
        <f t="shared" ref="BJ53" si="2161">IF($E54="H",IF($F53="Hybrid - Thrust + 2 connections","Hybrid_Mix_Req",IF($F53="Hybrid - min 4 swimmers (no DD)","Data!$BI$1:$BI$5","HybridDD_Code")),IF($E54=3,"TreDD_Code",IF($E54="PA","AcroPair_Code",IF(LEFT($F53,4)="Acro",CONCATENATE(BJ$16,$E54,"_Code"),"Data!$BI$1:$BI$5"))))</f>
        <v>Data!$BI$1:$BI$5</v>
      </c>
      <c r="BK53" s="90" t="str">
        <f t="shared" si="978"/>
        <v>Data!$BI$1:$BI$5</v>
      </c>
      <c r="BL53" s="90" t="str">
        <f t="shared" si="978"/>
        <v>Data!$BI$1:$BI$5</v>
      </c>
      <c r="BM53" s="90" t="str">
        <f t="shared" si="978"/>
        <v>Data!$BI$1:$BI$5</v>
      </c>
      <c r="BN53" s="90" t="str">
        <f t="shared" si="978"/>
        <v>Data!$BI$1:$BI$5</v>
      </c>
      <c r="BO53" s="90" t="str">
        <f t="shared" si="978"/>
        <v>Data!$BI$1:$BI$5</v>
      </c>
      <c r="BP53" s="90" t="str">
        <f t="shared" si="978"/>
        <v>Data!$BI$1:$BI$5</v>
      </c>
      <c r="BQ53" s="90" t="str">
        <f t="shared" si="978"/>
        <v>Data!$BI$1:$BI$5</v>
      </c>
      <c r="BR53" s="90" t="str">
        <f t="shared" ref="BR53" si="2162">IF($E54="H",IF($F53="Hybrid - Thrust + 2 connections","Data!$BI$1:$BI$5","HybridDD_Code"),"Data!$BI$1:$BI$5")</f>
        <v>Data!$BI$1:$BI$5</v>
      </c>
      <c r="BS53" s="90" t="str">
        <f t="shared" si="445"/>
        <v>Data!$BI$1:$BI$5</v>
      </c>
      <c r="BT53" s="90" t="str">
        <f t="shared" si="445"/>
        <v>Data!$BI$1:$BI$5</v>
      </c>
      <c r="BU53" s="90" t="str">
        <f t="shared" si="445"/>
        <v>Data!$BI$1:$BI$5</v>
      </c>
      <c r="BV53" s="90" t="str">
        <f t="shared" si="445"/>
        <v>Data!$BI$1:$BI$5</v>
      </c>
      <c r="BW53" s="90" t="str">
        <f t="shared" si="445"/>
        <v>Data!$BI$1:$BI$5</v>
      </c>
      <c r="BX53" s="90" t="str">
        <f t="shared" si="445"/>
        <v>Data!$BI$1:$BI$5</v>
      </c>
      <c r="BY53" s="90" t="str">
        <f t="shared" si="445"/>
        <v>Data!$BI$1:$BI$5</v>
      </c>
      <c r="BZ53" s="90" t="str">
        <f t="shared" si="445"/>
        <v>Data!$BI$1:$BI$5</v>
      </c>
      <c r="CA53" s="90" t="str">
        <f t="shared" si="445"/>
        <v>Data!$BI$1:$BI$5</v>
      </c>
      <c r="CB53" s="90" t="str">
        <f t="shared" si="445"/>
        <v>Data!$BI$1:$BI$5</v>
      </c>
      <c r="CC53" s="90" t="str">
        <f t="shared" si="445"/>
        <v>Data!$BI$1:$BI$5</v>
      </c>
      <c r="CD53" s="90" t="str">
        <f t="shared" si="445"/>
        <v>Data!$BI$1:$BI$5</v>
      </c>
      <c r="CE53" s="90" t="str">
        <f t="shared" si="445"/>
        <v>Data!$BI$1:$BI$5</v>
      </c>
      <c r="CF53" s="90" t="str">
        <f t="shared" si="445"/>
        <v>Data!$BI$1:$BI$5</v>
      </c>
      <c r="CG53" s="90" t="str">
        <f t="shared" si="445"/>
        <v>Data!$BI$1:$BI$5</v>
      </c>
      <c r="CH53" s="90" t="str">
        <f t="shared" si="445"/>
        <v>Data!$BI$1:$BI$5</v>
      </c>
      <c r="CI53" s="90" t="str">
        <f t="shared" si="980"/>
        <v>Data!$BI$1:$BI$5</v>
      </c>
      <c r="CJ53" s="90" t="str">
        <f t="shared" si="980"/>
        <v>Data!$BI$1:$BI$5</v>
      </c>
      <c r="CK53" s="90" t="str">
        <f t="shared" si="980"/>
        <v>Data!$BI$1:$BI$5</v>
      </c>
      <c r="CL53" s="90" t="str">
        <f t="shared" si="980"/>
        <v>Data!$BI$1:$BI$5</v>
      </c>
      <c r="CM53" s="90"/>
      <c r="CN53" s="90"/>
      <c r="CO53" s="93" t="str">
        <f>IFERROR(TIME(0,A53,B53),"")</f>
        <v/>
      </c>
      <c r="CP53" s="94">
        <f>IFERROR(TIME(0,C53,D53),"")</f>
        <v>0</v>
      </c>
      <c r="CQ53" s="94" t="str">
        <f t="shared" ref="CQ53" si="2163">IF(CP53&gt;$D$12,"X","")</f>
        <v/>
      </c>
      <c r="CR53" s="88" t="str">
        <f>IF(AND(F53="Hybrid - Thrust + 2 connections",OR(LEFT(J53,1)="T",LEFT(K53,1)="T",LEFT(L53,1)="T",LEFT(PB53,1)="T",LEFT(M53,1)="T",LEFT(N53,1)="T",LEFT(O53,1)="T",LEFT(P53,1)="T",LEFT(Q53,1)="T",LEFT(R53,1)="T",LEFT(S53,1)="T",LEFT(T53,1)="T",LEFT(U53,1)="T",LEFT(V53,1)="T",LEFT(W53,1)="T",LEFT(X53,1)="T",LEFT(AK53,1)="T",LEFT(AL53,1)="T",LEFT(AM53,1)="T")),IF(OR(LEN(J53)=2,LEN(K53)=2,LEN(L53)=2,LEN(M53)=2,LEN(N53)=2,LEN(O53)=2,LEN(P53)=2,LEN(Q53)=2,LEN(R53)=2,LEN(S53)=2,LEN(T53)=2,LEN(U53)=2,LEN(V53)=2,LEN(W53)=2,LEN(X53)=2,LEN(Y53)=2,LEN(Z53)=2,LEN(AK53)=2,LEN(AL53)=2,LEN(AM53)=2),"X",""),"")</f>
        <v/>
      </c>
      <c r="CS53" s="91" t="str">
        <f>IF(F53="Hybrid",SECOND(CP53),"")</f>
        <v/>
      </c>
      <c r="CT53" s="88" t="str">
        <f>IF(LEFT(F53,4)="Acro",IF(AND(N53&lt;&gt;"",M53=RIGHT(N53,2)),"X","OK"),"")</f>
        <v/>
      </c>
      <c r="CU53" s="90" t="str">
        <f t="shared" ref="CU53:DB53" si="2164">IFERROR(IF(AND(LEFT($F53,4)="Acro",INDEX(Requ_App,MATCH(BI53,Requ_Code,0))="No"),"X",""),"")</f>
        <v/>
      </c>
      <c r="CV53" s="90" t="str">
        <f t="shared" si="2164"/>
        <v/>
      </c>
      <c r="CW53" s="90" t="str">
        <f t="shared" si="2164"/>
        <v/>
      </c>
      <c r="CX53" s="90" t="str">
        <f t="shared" si="2164"/>
        <v/>
      </c>
      <c r="CY53" s="90" t="str">
        <f t="shared" si="2164"/>
        <v/>
      </c>
      <c r="CZ53" s="90" t="str">
        <f t="shared" si="2164"/>
        <v/>
      </c>
      <c r="DA53" s="90" t="str">
        <f t="shared" si="2164"/>
        <v/>
      </c>
      <c r="DB53" s="90" t="str">
        <f t="shared" si="2164"/>
        <v/>
      </c>
      <c r="DC53" s="90" t="str">
        <f>IFERROR(IF(AND(LEFT($F53,4)="Acro",INDEX(Requ_App,MATCH(BP53,Requ_Code,0))="No"),"X",""),"")</f>
        <v/>
      </c>
      <c r="DD53" s="88" t="str">
        <f t="shared" si="2030"/>
        <v/>
      </c>
      <c r="DE53" s="88" t="str">
        <f t="shared" si="2031"/>
        <v/>
      </c>
      <c r="DF53" s="88" t="str">
        <f t="shared" si="2032"/>
        <v/>
      </c>
      <c r="DG53" s="88" t="str">
        <f t="shared" si="2033"/>
        <v/>
      </c>
      <c r="DK53" s="88">
        <f t="shared" ref="DK53" si="2165">IF(AND(E54="A",OR(Q53="Grip",Q53="Conn",Q53="Catch")),"A1",IF(AND(E54="A",OR(Q53="Hula",Q53="RetSq",Q53="RetPa")),"A2",IF(AND(E54="B",OR(Q53="Twirl",Q53="RotF")),"B1",IF(AND(E54="B",OR(Q53="Moon",Q53="Mov",Q53="Hold")),"B2",IF(AND(E54="P",OR(Q53="Porp",Q53="Splch")),"P1",IF(AND(E54="P",OR(Q53="Diva",Q53="Stand")),"P2",IF(AND(E54="P",OR(Q53="Spider",Q53="Climb")),"P3",IF(AND(E54="P",OR(Q53="Fall",Q53="FTurn")),"P4",IF(AND(E54="C",OR(Q53="Jump",Q53="Jump&gt;",Q53="On1Foot",Q53="1F&gt;1F")),"C1",IF(AND(E54="C",OR(Q53="Run",Q53="BRun")),"C2",1))))))))))</f>
        <v>1</v>
      </c>
      <c r="DL53" s="88">
        <f t="shared" ref="DL53" si="2166">IF(AND(E54="A",OR(R53="Grip",R53="Conn",R53="Catch")),"A1",IF(AND(E54="A",OR(R53="Hula",R53="RetSq",R53="RetPa")),"A2",IF(AND(E54="B",OR(R53="Twirl",R53="RotF")),"B1",IF(AND(E54="B",OR(R53="Moon",R53="Mov",R53="Hold")),"B2",IF(AND(E54="P",OR(R53="Porp",R53="Spich")),"P1",IF(AND(E54="P",OR(R53="Diva",R53="Stand")),"P2",IF(AND(E54="P",OR(R53="Spider",R53="Climb")),"P3",IF(AND(E54="P",OR(R53="Fall",R53="FTurn")),"P4",IF(AND(E54="C",OR(R53="Jump",R53="Jump&gt;",R53="On1Foot",R53="1F&gt;1F")),"C1",IF(AND(E54="C",OR(R53="Run",R53="BRun")),"C2",2))))))))))</f>
        <v>2</v>
      </c>
      <c r="DM53" s="88" t="str">
        <f t="shared" ref="DM53" si="2167">IF(AND(N53="",OR(Q53&lt;&gt;"",R53&lt;&gt;"")),"X",IF(AND(LEFT(F53,4)="Acro",Q53&lt;&gt;"",OR(Q53=R53,DK53=DL53)),IF(R53="C-Roll","","X"),IF(OR(AND(E54="A",Q53="Catch",R53&lt;&gt;"Dbl"),AND(E54="A",R53="Catch",Q53&lt;&gt;"Dbl")),"X","")))</f>
        <v/>
      </c>
      <c r="DN53" s="88" t="str">
        <f>IF(E54="PA",J53,"")</f>
        <v/>
      </c>
      <c r="DO53" s="88">
        <v>35</v>
      </c>
      <c r="DQ53" s="88" t="str">
        <f>IF(AND($E54="A",COUNTIF($DZ$19:$EA$68,DZ53)&gt;1),DZ53,"")</f>
        <v/>
      </c>
      <c r="DR53" s="88" t="str">
        <f>IF(AND($E54="A",COUNTIF($DZ$19:$EA$68,EA53)&gt;1),EA53,"")</f>
        <v/>
      </c>
      <c r="DS53" s="88" t="str">
        <f ca="1">IF(AND($E54="B",COUNTIF($J$19:$J$68,J53)&gt;1),J53,"")</f>
        <v/>
      </c>
      <c r="DT53" s="88" t="str">
        <f ca="1">IF(AND($E54="B",COUNTIF($K$19:$K$68,K53)&gt;1),K53,"")</f>
        <v/>
      </c>
      <c r="DU53" s="88" t="str">
        <f ca="1">IF(AND($E54="C",COUNTIF($J$19:$J$68,J53)&gt;1),J53,"")</f>
        <v/>
      </c>
      <c r="DV53" s="88" t="str">
        <f ca="1">IF(AND($E54="P",COUNTIF($J$19:$J$68,J53)&gt;1),J53,"")</f>
        <v/>
      </c>
      <c r="DW53" s="88" t="str">
        <f ca="1">IF(AND($E54="P",COUNTIF($K$19:$K$68,K53)&gt;1),K53,"")</f>
        <v/>
      </c>
      <c r="DX53" s="88" t="str">
        <f>IF(AND($E54="P",COUNTIF($DZ$19:$EA$68,DZ53)&gt;1),DZ53,"")</f>
        <v/>
      </c>
      <c r="DY53" s="88" t="str">
        <f>IF(AND($E54="P",COUNTIF($DZ$19:$EA$68,EA53)&gt;1),EA53,"")</f>
        <v/>
      </c>
      <c r="DZ53" s="88" t="str">
        <f>IFERROR(IF(OR(E54="A",E54="P"),M53,""),"")</f>
        <v/>
      </c>
      <c r="EA53" s="88" t="str">
        <f>IFERROR(IF(OR(E54="A",E54="P"),RIGHT(N53,2),""),"")</f>
        <v/>
      </c>
      <c r="EB53" s="88" t="str">
        <f t="shared" ref="EB53" si="2168">IF(Q53="","",IF(AND($E54="P",COUNTIF($Q$19:$R$68,Q53)&gt;1),Q53,""))</f>
        <v/>
      </c>
      <c r="EC53" s="88" t="str">
        <f t="shared" ref="EC53" si="2169">IF(R53="","",IF(AND($E54="P",COUNTIF($Q$19:$R$68,R53)&gt;1),R53,""))</f>
        <v/>
      </c>
      <c r="ED53" s="88" t="str">
        <f t="shared" si="14"/>
        <v/>
      </c>
      <c r="EE53" s="88" t="str">
        <f t="shared" si="15"/>
        <v/>
      </c>
      <c r="EF53" s="88" t="str">
        <f t="shared" ref="EF53" si="2170">IF(AND(OR($F$8="Open Team Acrobatic",$F$8="Open Team Technical"),LEFT(F53,4)="Acro"),E54,"")</f>
        <v/>
      </c>
      <c r="EG53" s="88" t="str">
        <f t="shared" ref="EG53" si="2171">IF(EF53="","",IFERROR(IF($F$8="Open Team Acrobatic",IF(HLOOKUP(EF53,$DQ$12:$DT$13,2,FALSE)&gt;2,"X",""),IF(HLOOKUP(EF53,$DQ$12:$DT$13,2,FALSE)&gt;1,"X","")),""))</f>
        <v/>
      </c>
      <c r="EI53" s="88" t="str">
        <f t="shared" ref="EI53" si="2172">IF(OR(AND(F53="Hybrid - Thrust + 2 connections",EI54="T"),AND(E54="H",EI54&lt;&gt;"",EI107="X")),"X","")</f>
        <v/>
      </c>
      <c r="EK53" s="88">
        <f t="shared" ref="EK53" si="2173">IFERROR(IF(AND($E54="H",J53&lt;&gt;"",J53&lt;&gt;"ChoHY"),IF(OR(LEFT(J53,1)="T",LEFT(J53,1)="S",LEFT(J53,1)="A",LEFT(J53,1)="F",LEFT(J53,1)="C"),LEFT(J53,1),"R"),EK$18),"")</f>
        <v>1</v>
      </c>
      <c r="EL53" s="88">
        <f t="shared" ref="EL53" si="2174">IFERROR(IF(AND($E54="H",K53&lt;&gt;""),IF(OR(LEFT(K53,1)="T",LEFT(K53,1)="S",LEFT(K53,1)="A",LEFT(K53,1)="F",LEFT(K53,1)="C"),LEFT(K53,1),"R"),EL$18),"")</f>
        <v>2</v>
      </c>
      <c r="EM53" s="88">
        <f t="shared" ref="EM53" si="2175">IFERROR(IF(AND($E54="H",L53&lt;&gt;""),IF(OR(LEFT(L53,1)="T",LEFT(L53,1)="S",LEFT(L53,1)="A",LEFT(L53,1)="F",LEFT(L53,1)="C"),LEFT(L53,1),"R"),EM$18),"")</f>
        <v>3</v>
      </c>
      <c r="EN53" s="88">
        <f t="shared" ref="EN53" si="2176">IFERROR(IF(AND($E54="H",M53&lt;&gt;""),IF(OR(LEFT(M53,1)="T",LEFT(M53,1)="S",LEFT(M53,1)="A",LEFT(M53,1)="F",LEFT(M53,1)="C"),LEFT(M53,1),"R"),EN$18),"")</f>
        <v>4</v>
      </c>
      <c r="EO53" s="88">
        <f t="shared" ref="EO53" si="2177">IFERROR(IF(AND($E54="H",N53&lt;&gt;""),IF(OR(LEFT(N53,1)="T",LEFT(N53,1)="S",LEFT(N53,1)="A",LEFT(N53,1)="F",LEFT(N53,1)="C"),LEFT(N53,1),"R"),EO$18),"")</f>
        <v>5</v>
      </c>
      <c r="EP53" s="88">
        <f t="shared" ref="EP53" si="2178">IFERROR(IF(AND($E54="H",O53&lt;&gt;""),IF(OR(LEFT(O53,1)="T",LEFT(O53,1)="S",LEFT(O53,1)="A",LEFT(O53,1)="F",LEFT(O53,1)="C"),LEFT(O53,1),"R"),EP$18),"")</f>
        <v>6</v>
      </c>
      <c r="EQ53" s="88">
        <f t="shared" ref="EQ53" si="2179">IFERROR(IF(AND($E54="H",P53&lt;&gt;""),IF(OR(LEFT(P53,1)="T",LEFT(P53,1)="S",LEFT(P53,1)="A",LEFT(P53,1)="F",LEFT(P53,1)="C"),LEFT(P53,1),"R"),EQ$18),"")</f>
        <v>7</v>
      </c>
      <c r="ER53" s="88">
        <f t="shared" ref="ER53" si="2180">IFERROR(IF(AND($E54="H",Q53&lt;&gt;""),IF(OR(LEFT(Q53,1)="T",LEFT(Q53,1)="S",LEFT(Q53,1)="A",LEFT(Q53,1)="F",LEFT(Q53,1)="C"),LEFT(Q53,1),"R"),ER$18),"")</f>
        <v>8</v>
      </c>
      <c r="ES53" s="88">
        <f t="shared" ref="ES53" si="2181">IFERROR(IF(AND($E54="H",R53&lt;&gt;""),IF(OR(LEFT(R53,1)="T",LEFT(R53,1)="S",LEFT(R53,1)="A",LEFT(R53,1)="F",LEFT(R53,1)="C"),LEFT(R53,1),"R"),ES$18),"")</f>
        <v>9</v>
      </c>
      <c r="ET53" s="88">
        <f t="shared" ref="ET53" si="2182">IFERROR(IF(AND($E54="H",S53&lt;&gt;""),IF(OR(LEFT(S53,1)="T",LEFT(S53,1)="S",LEFT(S53,1)="A",LEFT(S53,1)="F",LEFT(S53,1)="C"),LEFT(S53,1),"R"),ET$18),"")</f>
        <v>10</v>
      </c>
      <c r="EU53" s="88">
        <f t="shared" ref="EU53" si="2183">IFERROR(IF(AND($E54="H",T53&lt;&gt;""),IF(OR(LEFT(T53,1)="T",LEFT(T53,1)="S",LEFT(T53,1)="A",LEFT(T53,1)="F",LEFT(T53,1)="C"),LEFT(T53,1),"R"),EU$18),"")</f>
        <v>11</v>
      </c>
      <c r="EV53" s="88">
        <f t="shared" ref="EV53" si="2184">IFERROR(IF(AND($E54="H",U53&lt;&gt;""),IF(OR(LEFT(U53,1)="T",LEFT(U53,1)="S",LEFT(U53,1)="A",LEFT(U53,1)="F",LEFT(U53,1)="C"),LEFT(U53,1),"R"),EV$18),"")</f>
        <v>12</v>
      </c>
      <c r="EW53" s="88">
        <f t="shared" ref="EW53" si="2185">IFERROR(IF(AND($E54="H",V53&lt;&gt;""),IF(OR(LEFT(V53,1)="T",LEFT(V53,1)="S",LEFT(V53,1)="A",LEFT(V53,1)="F",LEFT(V53,1)="C"),LEFT(V53,1),"R"),EW$18),"")</f>
        <v>13</v>
      </c>
      <c r="EX53" s="88">
        <f t="shared" ref="EX53" si="2186">IFERROR(IF(AND($E54="H",W53&lt;&gt;""),IF(OR(LEFT(W53,1)="T",LEFT(W53,1)="S",LEFT(W53,1)="A",LEFT(W53,1)="F",LEFT(W53,1)="C"),LEFT(W53,1),"R"),EX$18),"")</f>
        <v>14</v>
      </c>
      <c r="EY53" s="88">
        <f t="shared" ref="EY53" si="2187">IFERROR(IF(AND($E54="H",X53&lt;&gt;""),IF(OR(LEFT(X53,1)="T",LEFT(X53,1)="S",LEFT(X53,1)="A",LEFT(X53,1)="F",LEFT(X53,1)="C"),LEFT(X53,1),"R"),EY$18),"")</f>
        <v>15</v>
      </c>
      <c r="EZ53" s="88">
        <f t="shared" ref="EZ53" si="2188">IFERROR(IF(AND($E54="H",Y53&lt;&gt;""),IF(OR(LEFT(Y53,1)="T",LEFT(Y53,1)="S",LEFT(Y53,1)="A",LEFT(Y53,1)="F",LEFT(Y53,1)="C"),LEFT(Y53,1),"R"),EZ$18),"")</f>
        <v>16</v>
      </c>
      <c r="FA53" s="88">
        <f t="shared" ref="FA53" si="2189">IFERROR(IF(AND($E54="H",Z53&lt;&gt;""),IF(OR(LEFT(Z53,1)="T",LEFT(Z53,1)="S",LEFT(Z53,1)="A",LEFT(Z53,1)="F",LEFT(Z53,1)="C"),LEFT(Z53,1),"R"),FA$18),"")</f>
        <v>17</v>
      </c>
      <c r="FB53" s="88">
        <f t="shared" ref="FB53" si="2190">IFERROR(IF(AND($E54="H",AA53&lt;&gt;""),IF(OR(LEFT(AA53,1)="T",LEFT(AA53,1)="S",LEFT(AA53,1)="A",LEFT(AA53,1)="F",LEFT(AA53,1)="C"),LEFT(AA53,1),"R"),FB$18),"")</f>
        <v>18</v>
      </c>
      <c r="FC53" s="88">
        <f t="shared" ref="FC53" si="2191">IFERROR(IF(AND($E54="H",AB53&lt;&gt;""),IF(OR(LEFT(AB53,1)="T",LEFT(AB53,1)="S",LEFT(AB53,1)="A",LEFT(AB53,1)="F",LEFT(AB53,1)="C"),LEFT(AB53,1),"R"),FC$18),"")</f>
        <v>19</v>
      </c>
      <c r="FD53" s="88">
        <f t="shared" ref="FD53" si="2192">IFERROR(IF(AND($E54="H",AC53&lt;&gt;""),IF(OR(LEFT(AC53,1)="T",LEFT(AC53,1)="S",LEFT(AC53,1)="A",LEFT(AC53,1)="F",LEFT(AC53,1)="C"),LEFT(AC53,1),"R"),FD$18),"")</f>
        <v>20</v>
      </c>
      <c r="FE53" s="88">
        <f t="shared" ref="FE53" si="2193">IFERROR(IF(AND($E54="H",AD53&lt;&gt;""),IF(OR(LEFT(AD53,1)="T",LEFT(AD53,1)="S",LEFT(AD53,1)="A",LEFT(AD53,1)="F",LEFT(AD53,1)="C"),LEFT(AD53,1),"R"),FE$18),"")</f>
        <v>21</v>
      </c>
      <c r="FF53" s="88">
        <f t="shared" ref="FF53" si="2194">IFERROR(IF(AND($E54="H",AE53&lt;&gt;""),IF(OR(LEFT(AE53,1)="T",LEFT(AE53,1)="S",LEFT(AE53,1)="A",LEFT(AE53,1)="F",LEFT(AE53,1)="C"),LEFT(AE53,1),"R"),FF$18),"")</f>
        <v>22</v>
      </c>
      <c r="FG53" s="88">
        <f t="shared" ref="FG53" si="2195">IFERROR(IF(AND($E54="H",AF53&lt;&gt;""),IF(OR(LEFT(AF53,1)="T",LEFT(AF53,1)="S",LEFT(AF53,1)="A",LEFT(AF53,1)="F",LEFT(AF53,1)="C"),LEFT(AF53,1),"R"),FG$18),"")</f>
        <v>23</v>
      </c>
      <c r="FH53" s="88">
        <f t="shared" ref="FH53" si="2196">IFERROR(IF(AND($E54="H",AG53&lt;&gt;""),IF(OR(LEFT(AG53,1)="T",LEFT(AG53,1)="S",LEFT(AG53,1)="A",LEFT(AG53,1)="F",LEFT(AG53,1)="C"),LEFT(AG53,1),"R"),FH$18),"")</f>
        <v>24</v>
      </c>
      <c r="FI53" s="88">
        <f t="shared" ref="FI53" si="2197">IFERROR(IF(AND($E54="H",AH53&lt;&gt;""),IF(OR(LEFT(AH53,1)="T",LEFT(AH53,1)="S",LEFT(AH53,1)="A",LEFT(AH53,1)="F",LEFT(AH53,1)="C"),LEFT(AH53,1),"R"),FI$18),"")</f>
        <v>25</v>
      </c>
      <c r="FJ53" s="88">
        <f t="shared" ref="FJ53" si="2198">IFERROR(IF(AND($E54="H",AI53&lt;&gt;""),IF(OR(LEFT(AI53,1)="T",LEFT(AI53,1)="S",LEFT(AI53,1)="A",LEFT(AI53,1)="F",LEFT(AI53,1)="C"),LEFT(AI53,1),"R"),FJ$18),"")</f>
        <v>26</v>
      </c>
      <c r="FK53" s="88">
        <f t="shared" ref="FK53" si="2199">IFERROR(IF(AND($E54="H",AJ53&lt;&gt;""),IF(OR(LEFT(AJ53,1)="T",LEFT(AJ53,1)="S",LEFT(AJ53,1)="A",LEFT(AJ53,1)="F",LEFT(AJ53,1)="C"),LEFT(AJ53,1),"R"),FK$18),"")</f>
        <v>27</v>
      </c>
      <c r="FL53" s="88">
        <f t="shared" ref="FL53" si="2200">IFERROR(IF(AND($E54="H",AK53&lt;&gt;""),IF(OR(LEFT(AK53,1)="T",LEFT(AK53,1)="S",LEFT(AK53,1)="A",LEFT(AK53,1)="F",LEFT(AK53,1)="C"),LEFT(AK53,1),"R"),FL$18),"")</f>
        <v>28</v>
      </c>
      <c r="FM53" s="88">
        <f t="shared" ref="FM53" si="2201">IFERROR(IF(AND($E54="H",AL53&lt;&gt;""),IF(OR(LEFT(AL53,1)="T",LEFT(AL53,1)="S",LEFT(AL53,1)="A",LEFT(AL53,1)="F",LEFT(AL53,1)="C"),LEFT(AL53,1),"R"),FM$18),"")</f>
        <v>29</v>
      </c>
      <c r="FN53" s="88">
        <f t="shared" ref="FN53" si="2202">IFERROR(IF(AND($E54="H",AM53&lt;&gt;""),IF(OR(LEFT(AM53,1)="T",LEFT(AM53,1)="S",LEFT(AM53,1)="A",LEFT(AM53,1)="F",LEFT(AM53,1)="C"),LEFT(AM53,1),"R"),FN$18),"")</f>
        <v>30</v>
      </c>
      <c r="FO53" s="88"/>
      <c r="FP53" s="88"/>
      <c r="FQ53" s="88"/>
      <c r="FR53" s="285"/>
      <c r="FS53" s="285"/>
      <c r="FT53" s="285"/>
      <c r="FU53" s="285"/>
      <c r="FV53" s="285"/>
      <c r="FW53" s="285"/>
      <c r="FX53" s="285"/>
      <c r="FY53" s="285"/>
      <c r="FZ53" s="285"/>
      <c r="GA53" s="285"/>
      <c r="GB53" s="285"/>
      <c r="GC53" s="285"/>
      <c r="GD53" s="285"/>
      <c r="GE53" s="285"/>
      <c r="GF53" s="285"/>
      <c r="GG53" s="285"/>
      <c r="GH53" s="285"/>
      <c r="GI53" s="285"/>
      <c r="GJ53" s="285"/>
      <c r="GK53" s="285"/>
      <c r="GL53" s="285"/>
      <c r="GM53" s="285"/>
      <c r="GN53" s="285"/>
      <c r="GO53" s="285"/>
      <c r="GP53" s="285"/>
      <c r="GQ53" s="285"/>
      <c r="GR53" s="285"/>
      <c r="GS53" s="285"/>
      <c r="GT53" s="285"/>
      <c r="GU53" s="285"/>
      <c r="GV53" s="88"/>
      <c r="GW53" s="88">
        <f t="shared" ref="GW53" si="2203">COUNTIF($EK53:$FN53,GW$18)</f>
        <v>0</v>
      </c>
      <c r="GX53" s="88">
        <f t="shared" si="1021"/>
        <v>0</v>
      </c>
      <c r="GY53" s="88">
        <f t="shared" si="1021"/>
        <v>0</v>
      </c>
      <c r="GZ53" s="88">
        <f t="shared" si="1021"/>
        <v>0</v>
      </c>
      <c r="HA53" s="88">
        <f t="shared" si="1021"/>
        <v>0</v>
      </c>
      <c r="HB53" s="88">
        <f t="shared" si="1021"/>
        <v>0</v>
      </c>
      <c r="HC53" s="88"/>
      <c r="HD53" s="88" t="str">
        <f t="shared" ref="HD53" si="2204">IF(AND($F53="Hybrid - Thrust + 2 connections",HD54=0,LEFT($J53,1)="C",LEFT($K53,1)="C",LEFT($L53,1)="C"),"X","")</f>
        <v/>
      </c>
      <c r="HE53" s="88"/>
      <c r="HF53" s="91"/>
      <c r="HG53" s="100"/>
      <c r="HH53" s="100"/>
      <c r="HI53" s="91" t="str">
        <f t="shared" ref="HI53" si="2205">IF(E54=3,IF(_xlfn.NUMBERVALUE(LEFT(J53,1))&gt;0,_xlfn.NUMBERVALUE(LEFT(J53,1)),""),"")</f>
        <v/>
      </c>
      <c r="HK53" s="91" t="str">
        <f t="shared" ref="HK53" si="2206">IF(OR(E54="B",E54="P"),E54,"")</f>
        <v/>
      </c>
      <c r="HL53" s="91" t="str">
        <f>IF(AND(J53&lt;&gt;"",HK53&lt;&gt;""),IF(HK53="B",MATCH(J53,AcroDD!$U$3:$AE$3,0),MATCH(J53,AcroDD!$U$30:$AC$30,0)),"")</f>
        <v/>
      </c>
      <c r="HM53" s="91" t="str">
        <f t="shared" ref="HM53" si="2207">IF(AND(K53&lt;&gt;"",HK53&lt;&gt;""),K53,"")</f>
        <v/>
      </c>
      <c r="HN53" s="91" t="str">
        <f>_xlfn.LET(_xlpm.lista,IF(HK53="B",INDEX(AcroDD!$T$4:$AE$23,0,HL53+1),INDEX(AcroDD!$T$31:$AC$50,0,HL53+1)),IF(AND(OR(HK53="B",HK53="P"),HL53&lt;&gt;"",HM53&lt;&gt;""),IF(ISNUMBER(MATCH(HM53,_xlpm.lista,0)),"OK","X"),""))</f>
        <v/>
      </c>
    </row>
    <row r="54" spans="1:222" ht="12.75" customHeight="1" x14ac:dyDescent="0.35">
      <c r="A54" s="28"/>
      <c r="B54" s="29"/>
      <c r="C54" s="29"/>
      <c r="D54" s="29"/>
      <c r="E54" s="17" t="str">
        <f t="shared" ref="E54" si="2208">IF(F53="Acrobatic - Pair","PA",IF(F53="Acrobatic Airborn","A",IF(F53="Acrobatic Balance","B",IF(F53="Acrobatic Combined","C",IF(F53="Acrobatic Platform","P",IF(F53="Technical Required Element",3,IF(LEFT(F53,4)="Hybr","H","")))))))</f>
        <v/>
      </c>
      <c r="F54" s="17" t="str">
        <f>IF(AND(F53="Hybrid - Thrust + 2 connections",CR53="X"),"Hybrid - Thrust",IF(OR(E54="A",E54="B",E54="C",E54="P"),"Acrobatic",""))</f>
        <v/>
      </c>
      <c r="G54" s="31"/>
      <c r="H54" s="182" t="str">
        <f t="shared" ref="H54" si="2209">IF(E54="PA",IF(OR(LEFT(J53,1)="L",LEFT(J53,1)="S"),"A-Pair-Lift",IF(OR(LEFT(J53,1)="W",LEFT(J53,1)="T"),"A-Pair-Throw",IF(LEFT(J53,1)="J","A-Pair-Jump","A-Pair"))),IF(OR(E54="A",E54="B",E54="C",E54="P"),CONCATENATE("Acro-",E54),""))</f>
        <v/>
      </c>
      <c r="I54" s="176" t="e">
        <f>IF(OR(F53="Hybrid - Choreography (DD = 1)",LEFT(F53,5)="Trans"),0,INDEX($BY$3:$BY$9,MATCH(E54,$BX$3:$BX$9,0)))</f>
        <v>#N/A</v>
      </c>
      <c r="J54" s="171">
        <f ca="1">IFERROR(IF($H53="No DD",IF(J53="ChoHY",1,0),IF(OR(ISBLANK(J53),J53="N/A"),0,INDEX(INDIRECT(BI54),MATCH(J53,INDIRECT(BI53),0)))),0)</f>
        <v>0</v>
      </c>
      <c r="K54" s="171">
        <f t="shared" ref="K54:Y54" ca="1" si="2210">IFERROR(IF($H53="No DD",0,IF(OR(ISBLANK(K53),K53="N/A"),0,INDEX(INDIRECT(BJ54),MATCH(K53,INDIRECT(BJ53),0)))),0)</f>
        <v>0</v>
      </c>
      <c r="L54" s="171">
        <f t="shared" ca="1" si="2210"/>
        <v>0</v>
      </c>
      <c r="M54" s="171">
        <f t="shared" ca="1" si="2210"/>
        <v>0</v>
      </c>
      <c r="N54" s="171">
        <f t="shared" ca="1" si="2210"/>
        <v>0</v>
      </c>
      <c r="O54" s="171">
        <f t="shared" ca="1" si="2210"/>
        <v>0</v>
      </c>
      <c r="P54" s="171">
        <f t="shared" ca="1" si="2210"/>
        <v>0</v>
      </c>
      <c r="Q54" s="171">
        <f t="shared" ca="1" si="2210"/>
        <v>0</v>
      </c>
      <c r="R54" s="171">
        <f t="shared" ca="1" si="2210"/>
        <v>0</v>
      </c>
      <c r="S54" s="171">
        <f t="shared" ca="1" si="2210"/>
        <v>0</v>
      </c>
      <c r="T54" s="171">
        <f t="shared" ca="1" si="2210"/>
        <v>0</v>
      </c>
      <c r="U54" s="171">
        <f t="shared" ca="1" si="2210"/>
        <v>0</v>
      </c>
      <c r="V54" s="171">
        <f t="shared" ca="1" si="2210"/>
        <v>0</v>
      </c>
      <c r="W54" s="171">
        <f t="shared" ca="1" si="2210"/>
        <v>0</v>
      </c>
      <c r="X54" s="171">
        <f t="shared" ca="1" si="2210"/>
        <v>0</v>
      </c>
      <c r="Y54" s="171">
        <f t="shared" ca="1" si="2210"/>
        <v>0</v>
      </c>
      <c r="Z54" s="171">
        <f t="shared" ref="Z54" ca="1" si="2211">IFERROR(IF($H53="No DD",0,IF(OR(ISBLANK(Z53),Z53="N/A"),0,INDEX(INDIRECT(BY54),MATCH(Z53,INDIRECT(BY53),0)))),0)</f>
        <v>0</v>
      </c>
      <c r="AA54" s="171">
        <f t="shared" ref="AA54" ca="1" si="2212">IFERROR(IF($H53="No DD",0,IF(OR(ISBLANK(AA53),AA53="N/A"),0,INDEX(INDIRECT(BZ54),MATCH(AA53,INDIRECT(BZ53),0)))),0)</f>
        <v>0</v>
      </c>
      <c r="AB54" s="171">
        <f t="shared" ref="AB54" ca="1" si="2213">IFERROR(IF($H53="No DD",0,IF(OR(ISBLANK(AB53),AB53="N/A"),0,INDEX(INDIRECT(CA54),MATCH(AB53,INDIRECT(CA53),0)))),0)</f>
        <v>0</v>
      </c>
      <c r="AC54" s="171">
        <f t="shared" ref="AC54" ca="1" si="2214">IFERROR(IF($H53="No DD",0,IF(OR(ISBLANK(AC53),AC53="N/A"),0,INDEX(INDIRECT(CB54),MATCH(AC53,INDIRECT(CB53),0)))),0)</f>
        <v>0</v>
      </c>
      <c r="AD54" s="171">
        <f t="shared" ref="AD54" ca="1" si="2215">IFERROR(IF($H53="No DD",0,IF(OR(ISBLANK(AD53),AD53="N/A"),0,INDEX(INDIRECT(CC54),MATCH(AD53,INDIRECT(CC53),0)))),0)</f>
        <v>0</v>
      </c>
      <c r="AE54" s="171">
        <f t="shared" ref="AE54" ca="1" si="2216">IFERROR(IF($H53="No DD",0,IF(OR(ISBLANK(AE53),AE53="N/A"),0,INDEX(INDIRECT(CD54),MATCH(AE53,INDIRECT(CD53),0)))),0)</f>
        <v>0</v>
      </c>
      <c r="AF54" s="171">
        <f t="shared" ref="AF54" ca="1" si="2217">IFERROR(IF($H53="No DD",0,IF(OR(ISBLANK(AF53),AF53="N/A"),0,INDEX(INDIRECT(CE54),MATCH(AF53,INDIRECT(CE53),0)))),0)</f>
        <v>0</v>
      </c>
      <c r="AG54" s="171">
        <f t="shared" ref="AG54" ca="1" si="2218">IFERROR(IF($H53="No DD",0,IF(OR(ISBLANK(AG53),AG53="N/A"),0,INDEX(INDIRECT(CF54),MATCH(AG53,INDIRECT(CF53),0)))),0)</f>
        <v>0</v>
      </c>
      <c r="AH54" s="171">
        <f t="shared" ref="AH54" ca="1" si="2219">IFERROR(IF($H53="No DD",0,IF(OR(ISBLANK(AH53),AH53="N/A"),0,INDEX(INDIRECT(CG54),MATCH(AH53,INDIRECT(CG53),0)))),0)</f>
        <v>0</v>
      </c>
      <c r="AI54" s="171">
        <f t="shared" ref="AI54" ca="1" si="2220">IFERROR(IF($H53="No DD",0,IF(OR(ISBLANK(AI53),AI53="N/A"),0,INDEX(INDIRECT(CH54),MATCH(AI53,INDIRECT(CH53),0)))),0)</f>
        <v>0</v>
      </c>
      <c r="AJ54" s="171">
        <f t="shared" ref="AJ54" ca="1" si="2221">IFERROR(IF($H53="No DD",0,IF(OR(ISBLANK(AJ53),AJ53="N/A"),0,INDEX(INDIRECT(CI54),MATCH(AJ53,INDIRECT(CI53),0)))),0)</f>
        <v>0</v>
      </c>
      <c r="AK54" s="171">
        <f t="shared" ref="AK54" ca="1" si="2222">IFERROR(IF($H53="No DD",0,IF(OR(ISBLANK(AK53),AK53="N/A"),0,INDEX(INDIRECT(CJ54),MATCH(AK53,INDIRECT(CJ53),0)))),0)</f>
        <v>0</v>
      </c>
      <c r="AL54" s="171">
        <f t="shared" ref="AL54" ca="1" si="2223">IFERROR(IF($H53="No DD",0,IF(OR(ISBLANK(AL53),AL53="N/A"),0,INDEX(INDIRECT(CK54),MATCH(AL53,INDIRECT(CK53),0)))),0)</f>
        <v>0</v>
      </c>
      <c r="AM54" s="171">
        <f t="shared" ref="AM54" ca="1" si="2224">IFERROR(IF($H53="No DD",0,IF(OR(ISBLANK(AM53),AM53="N/A"),0,INDEX(INDIRECT(CL54),MATCH(AM53,INDIRECT(CL53),0)))),0)</f>
        <v>0</v>
      </c>
      <c r="AN54" s="172" t="str">
        <f>IFERROR(IF(E54="H",INDEX(HybridBonus_Value,MATCH(AN53,HybridBonus_Code,0)),""),"")</f>
        <v/>
      </c>
      <c r="AO54" s="276" t="str">
        <f t="shared" ref="AO54" si="2225">IFERROR(SUM(I54:AN54),"")</f>
        <v/>
      </c>
      <c r="AP54" s="62"/>
      <c r="AQ54" s="62"/>
      <c r="AR54" s="101"/>
      <c r="AS54" s="101"/>
      <c r="AT54" s="101"/>
      <c r="AU54" s="101"/>
      <c r="AV54" s="101"/>
      <c r="BA54" s="90"/>
      <c r="BB54" s="101"/>
      <c r="BC54" s="101"/>
      <c r="BD54" s="101"/>
      <c r="BE54" s="101"/>
      <c r="BF54" s="101"/>
      <c r="BG54" s="90"/>
      <c r="BH54" s="101"/>
      <c r="BI54" s="91" t="str">
        <f t="shared" ref="BI54" si="2226">IF($E54="H",IF($F53="Hybrid - Thrust + 2 connections","Hybrid_Mix_Req_Value","HybridDD_Value"),IF($E54=3,"TreDD_Value",IF($E54="PA","AcroPair_Value",IF(LEFT($F53,4)="Acro",CONCATENATE(BI$16,$E54,"_Value"),""))))</f>
        <v/>
      </c>
      <c r="BJ54" s="91" t="str">
        <f t="shared" ref="BJ54" si="2227">IF($E54="H",IF($F53="Hybrid - Thrust + 2 connections","Hybrid_Mix_Req_Value","HybridDD_Value"),IF($E54=3,"TreDD_Value",IF($E54="PA","AcroPair_Value",IF(LEFT($F53,4)="Acro",CONCATENATE(BJ$16,$E54,"_Value"),""))))</f>
        <v/>
      </c>
      <c r="BK54" s="91" t="str">
        <f t="shared" ref="BK54" si="2228">IF($E54="H",IF($F53="Hybrid - Thrust + 2 connections","Hybrid_Mix_Req_Value","HybridDD_Value"),IF($E54=3,"TreDD_Value",IF($E54="PA","AcroPair_Value",IF(LEFT($F53,4)="Acro",CONCATENATE(BK$16,$E54,"_Value"),""))))</f>
        <v/>
      </c>
      <c r="BL54" s="91" t="str">
        <f t="shared" ref="BL54" si="2229">IF($E54="H",IF($F53="Hybrid - Thrust + 2 connections","Hybrid_Mix_Req_Value","HybridDD_Value"),IF($E54=3,"TreDD_Value",IF($E54="PA","AcroPair_Value",IF(LEFT($F53,4)="Acro",CONCATENATE(BL$16,$E54,"_Value"),""))))</f>
        <v/>
      </c>
      <c r="BM54" s="91" t="str">
        <f t="shared" ref="BM54" si="2230">IF($E54="H",IF($F53="Hybrid - Thrust + 2 connections","Hybrid_Mix_Req_Value","HybridDD_Value"),IF($E54=3,"TreDD_Value",IF($E54="PA","AcroPair_Value",IF(LEFT($F53,4)="Acro",CONCATENATE(BM$16,$E54,"_Value"),""))))</f>
        <v/>
      </c>
      <c r="BN54" s="91" t="str">
        <f t="shared" ref="BN54" si="2231">IF($E54="H",IF($F53="Hybrid - Thrust + 2 connections","Hybrid_Mix_Req_Value","HybridDD_Value"),IF($E54=3,"TreDD_Value",IF($E54="PA","AcroPair_Value",IF(LEFT($F53,4)="Acro",CONCATENATE(BN$16,$E54,"_Value"),""))))</f>
        <v/>
      </c>
      <c r="BO54" s="91" t="str">
        <f t="shared" ref="BO54" si="2232">IF($E54="H",IF($F53="Hybrid - Thrust + 2 connections","Hybrid_Mix_Req_Value","HybridDD_Value"),IF($E54=3,"TreDD_Value",IF($E54="PA","AcroPair_Value",IF(LEFT($F53,4)="Acro",CONCATENATE(BO$16,$E54,"_Value"),""))))</f>
        <v/>
      </c>
      <c r="BP54" s="91" t="str">
        <f t="shared" ref="BP54" si="2233">IF($E54="H",IF($F53="Hybrid - Thrust + 2 connections","Hybrid_Mix_Req_Value","HybridDD_Value"),IF($E54=3,"TreDD_Value",IF($E54="PA","AcroPair_Value",IF(LEFT($F53,4)="Acro",CONCATENATE(BP$16,$E54,"_Value"),""))))</f>
        <v/>
      </c>
      <c r="BQ54" s="91" t="str">
        <f t="shared" ref="BQ54" si="2234">IF($E54="H",IF($F53="Hybrid - Thrust + 2 connections","Hybrid_Mix_Req_Value","HybridDD_Value"),IF($E54=3,"TreDD_Value",IF($E54="PA","AcroPair_Value",IF(LEFT($F53,4)="Acro",CONCATENATE(BQ$16,$E54,"_Value"),""))))</f>
        <v/>
      </c>
      <c r="BR54" s="90" t="str">
        <f t="shared" ref="BR54" si="2235">IF($E54="H",IF($F53="Hybrid - Thrust + 2 connections","Data!$BI$1:$BI$5","HybridDD_Value"),"Data!$BI$1:$BI$5")</f>
        <v>Data!$BI$1:$BI$5</v>
      </c>
      <c r="BS54" s="90" t="str">
        <f t="shared" ref="BS54" si="2236">IF($E54="H",IF($F53="Hybrid - Thrust + 2 connections","Data!$BI$1:$BI$5","HybridDD_Value"),"Data!$BI$1:$BI$5")</f>
        <v>Data!$BI$1:$BI$5</v>
      </c>
      <c r="BT54" s="90" t="str">
        <f t="shared" ref="BT54" si="2237">IF($E54="H",IF($F53="Hybrid - Thrust + 2 connections","Data!$BI$1:$BI$5","HybridDD_Value"),"Data!$BI$1:$BI$5")</f>
        <v>Data!$BI$1:$BI$5</v>
      </c>
      <c r="BU54" s="90" t="str">
        <f t="shared" ref="BU54" si="2238">IF($E54="H",IF($F53="Hybrid - Thrust + 2 connections","Data!$BI$1:$BI$5","HybridDD_Value"),"Data!$BI$1:$BI$5")</f>
        <v>Data!$BI$1:$BI$5</v>
      </c>
      <c r="BV54" s="90" t="str">
        <f t="shared" ref="BV54" si="2239">IF($E54="H",IF($F53="Hybrid - Thrust + 2 connections","Data!$BI$1:$BI$5","HybridDD_Value"),"Data!$BI$1:$BI$5")</f>
        <v>Data!$BI$1:$BI$5</v>
      </c>
      <c r="BW54" s="90" t="str">
        <f t="shared" ref="BW54" si="2240">IF($E54="H",IF($F53="Hybrid - Thrust + 2 connections","Data!$BI$1:$BI$5","HybridDD_Value"),"Data!$BI$1:$BI$5")</f>
        <v>Data!$BI$1:$BI$5</v>
      </c>
      <c r="BX54" s="90" t="str">
        <f t="shared" ref="BX54" si="2241">IF($E54="H",IF($F53="Hybrid - Thrust + 2 connections","Data!$BI$1:$BI$5","HybridDD_Value"),"Data!$BI$1:$BI$5")</f>
        <v>Data!$BI$1:$BI$5</v>
      </c>
      <c r="BY54" s="90" t="str">
        <f t="shared" ref="BY54" si="2242">IF($E54="H",IF($F53="Hybrid - Thrust + 2 connections","Data!$BI$1:$BI$5","HybridDD_Value"),"Data!$BI$1:$BI$5")</f>
        <v>Data!$BI$1:$BI$5</v>
      </c>
      <c r="BZ54" s="90" t="str">
        <f t="shared" ref="BZ54" si="2243">IF($E54="H",IF($F53="Hybrid - Thrust + 2 connections","Data!$BI$1:$BI$5","HybridDD_Value"),"Data!$BI$1:$BI$5")</f>
        <v>Data!$BI$1:$BI$5</v>
      </c>
      <c r="CA54" s="90" t="str">
        <f t="shared" ref="CA54" si="2244">IF($E54="H",IF($F53="Hybrid - Thrust + 2 connections","Data!$BI$1:$BI$5","HybridDD_Value"),"Data!$BI$1:$BI$5")</f>
        <v>Data!$BI$1:$BI$5</v>
      </c>
      <c r="CB54" s="90" t="str">
        <f t="shared" ref="CB54" si="2245">IF($E54="H",IF($F53="Hybrid - Thrust + 2 connections","Data!$BI$1:$BI$5","HybridDD_Value"),"Data!$BI$1:$BI$5")</f>
        <v>Data!$BI$1:$BI$5</v>
      </c>
      <c r="CC54" s="90" t="str">
        <f t="shared" ref="CC54" si="2246">IF($E54="H",IF($F53="Hybrid - Thrust + 2 connections","Data!$BI$1:$BI$5","HybridDD_Value"),"Data!$BI$1:$BI$5")</f>
        <v>Data!$BI$1:$BI$5</v>
      </c>
      <c r="CD54" s="90" t="str">
        <f t="shared" ref="CD54" si="2247">IF($E54="H",IF($F53="Hybrid - Thrust + 2 connections","Data!$BI$1:$BI$5","HybridDD_Value"),"Data!$BI$1:$BI$5")</f>
        <v>Data!$BI$1:$BI$5</v>
      </c>
      <c r="CE54" s="90" t="str">
        <f t="shared" ref="CE54" si="2248">IF($E54="H",IF($F53="Hybrid - Thrust + 2 connections","Data!$BI$1:$BI$5","HybridDD_Value"),"Data!$BI$1:$BI$5")</f>
        <v>Data!$BI$1:$BI$5</v>
      </c>
      <c r="CF54" s="90" t="str">
        <f t="shared" ref="CF54" si="2249">IF($E54="H",IF($F53="Hybrid - Thrust + 2 connections","Data!$BI$1:$BI$5","HybridDD_Value"),"Data!$BI$1:$BI$5")</f>
        <v>Data!$BI$1:$BI$5</v>
      </c>
      <c r="CG54" s="90" t="str">
        <f t="shared" ref="CG54" si="2250">IF($E54="H",IF($F53="Hybrid - Thrust + 2 connections","Data!$BI$1:$BI$5","HybridDD_Value"),"Data!$BI$1:$BI$5")</f>
        <v>Data!$BI$1:$BI$5</v>
      </c>
      <c r="CH54" s="90" t="str">
        <f t="shared" ref="CH54" si="2251">IF($E54="H",IF($F53="Hybrid - Thrust + 2 connections","Data!$BI$1:$BI$5","HybridDD_Value"),"Data!$BI$1:$BI$5")</f>
        <v>Data!$BI$1:$BI$5</v>
      </c>
      <c r="CI54" s="90" t="str">
        <f t="shared" ref="CI54" si="2252">IF($E54="H",IF($F53="Hybrid - Thrust + 2 connections","Data!$BI$1:$BI$5","HybridDD_Value"),"Data!$BI$1:$BI$5")</f>
        <v>Data!$BI$1:$BI$5</v>
      </c>
      <c r="CJ54" s="90" t="str">
        <f t="shared" ref="CJ54" si="2253">IF($E54="H",IF($F53="Hybrid - Thrust + 2 connections","Data!$BI$1:$BI$5","HybridDD_Value"),"Data!$BI$1:$BI$5")</f>
        <v>Data!$BI$1:$BI$5</v>
      </c>
      <c r="CK54" s="90" t="str">
        <f t="shared" ref="CK54" si="2254">IF($E54="H",IF($F53="Hybrid - Thrust + 2 connections","Data!$BI$1:$BI$5","HybridDD_Value"),"Data!$BI$1:$BI$5")</f>
        <v>Data!$BI$1:$BI$5</v>
      </c>
      <c r="CL54" s="90" t="str">
        <f t="shared" ref="CL54" si="2255">IF($E54="H",IF($F53="Hybrid - Thrust + 2 connections","Data!$BI$1:$BI$5","HybridDD_Value"),"Data!$BI$1:$BI$5")</f>
        <v>Data!$BI$1:$BI$5</v>
      </c>
      <c r="CM54" s="101"/>
      <c r="CN54" s="101"/>
      <c r="CO54" s="102" t="str">
        <f>IFERROR(IF(AND($BV$6="T",$BV$8="T",LEFT(F53,4)="Acro",AO54&gt;3),"X",IF($N$7="X",IF(AND(E54="C",AO54&gt;$CN$6),"X",IF(AND(E54="A",AO54&gt;$CN$4),"X",IF(AND(E54="B",AO54&gt;$CN$5),"X",IF(AND(E54="P",AO54&gt;$CN$7),"X","")))),"")),"")</f>
        <v/>
      </c>
      <c r="CP54" s="94"/>
      <c r="CQ54" s="91"/>
      <c r="CS54" s="91" t="str">
        <f>IF(F54="Hybrid",SECOND(CP54),"")</f>
        <v/>
      </c>
      <c r="CT54" s="91"/>
      <c r="CU54" s="91"/>
      <c r="CV54" s="91"/>
      <c r="CW54" s="91"/>
      <c r="CX54" s="91"/>
      <c r="CY54" s="91"/>
      <c r="CZ54" s="91"/>
      <c r="DD54" s="88" t="str">
        <f t="shared" si="2030"/>
        <v/>
      </c>
      <c r="DE54" s="88" t="str">
        <f t="shared" si="2031"/>
        <v/>
      </c>
      <c r="DF54" s="88" t="str">
        <f t="shared" si="2032"/>
        <v/>
      </c>
      <c r="DG54" s="88" t="str">
        <f t="shared" si="2033"/>
        <v/>
      </c>
      <c r="DO54" s="88">
        <v>36</v>
      </c>
      <c r="ED54" s="88" t="str">
        <f t="shared" si="14"/>
        <v/>
      </c>
      <c r="EE54" s="88" t="str">
        <f t="shared" si="15"/>
        <v/>
      </c>
      <c r="EI54" s="88" t="str" cm="1">
        <f t="array" ref="EI54">IFERROR(INDEX(EK54:FN54,MATCH(TRUE,INDEX((EK54:FN54&lt;&gt;""),),0)),"")</f>
        <v/>
      </c>
      <c r="EK54" s="88" t="str">
        <f t="shared" ref="EK54" si="2256">IF(F53="Hybrid - Thrust + 2 connections",IF(COUNTIF($EK53:$FN53,EK53)&gt;1,EK53,""),IF(COUNTIF($EK53:$FN53,EK53)&gt;5,EK53,""))</f>
        <v/>
      </c>
      <c r="EL54" s="88" t="str">
        <f t="shared" ref="EL54" si="2257">IF(G53="Hybrid - Thrust + 2 connections",IF(COUNTIF($EK53:$FN53,EL53)&gt;1,EL53,""),IF(COUNTIF($EK53:$FN53,EL53)&gt;5,EL53,""))</f>
        <v/>
      </c>
      <c r="EM54" s="88" t="str">
        <f t="shared" ref="EM54" si="2258">IF(H53="Hybrid - Thrust + 2 connections",IF(COUNTIF($EK53:$FN53,EM53)&gt;1,EM53,""),IF(COUNTIF($EK53:$FN53,EM53)&gt;5,EM53,""))</f>
        <v/>
      </c>
      <c r="EN54" s="88" t="str">
        <f t="shared" ref="EN54" si="2259">IF(I53="Hybrid - Thrust + 2 connections",IF(COUNTIF($EK53:$FN53,EN53)&gt;1,EN53,""),IF(COUNTIF($EK53:$FN53,EN53)&gt;5,EN53,""))</f>
        <v/>
      </c>
      <c r="EO54" s="88" t="str">
        <f t="shared" ref="EO54" si="2260">IF(J53="Hybrid - Thrust + 2 connections",IF(COUNTIF($EK53:$FN53,EO53)&gt;1,EO53,""),IF(COUNTIF($EK53:$FN53,EO53)&gt;5,EO53,""))</f>
        <v/>
      </c>
      <c r="EP54" s="88" t="str">
        <f t="shared" ref="EP54" si="2261">IF(K53="Hybrid - Thrust + 2 connections",IF(COUNTIF($EK53:$FN53,EP53)&gt;1,EP53,""),IF(COUNTIF($EK53:$FN53,EP53)&gt;5,EP53,""))</f>
        <v/>
      </c>
      <c r="EQ54" s="88" t="str">
        <f t="shared" ref="EQ54" si="2262">IF(L53="Hybrid - Thrust + 2 connections",IF(COUNTIF($EK53:$FN53,EQ53)&gt;1,EQ53,""),IF(COUNTIF($EK53:$FN53,EQ53)&gt;5,EQ53,""))</f>
        <v/>
      </c>
      <c r="ER54" s="88" t="str">
        <f t="shared" ref="ER54" si="2263">IF(M53="Hybrid - Thrust + 2 connections",IF(COUNTIF($EK53:$FN53,ER53)&gt;1,ER53,""),IF(COUNTIF($EK53:$FN53,ER53)&gt;5,ER53,""))</f>
        <v/>
      </c>
      <c r="ES54" s="88" t="str">
        <f t="shared" ref="ES54" si="2264">IF(N53="Hybrid - Thrust + 2 connections",IF(COUNTIF($EK53:$FN53,ES53)&gt;1,ES53,""),IF(COUNTIF($EK53:$FN53,ES53)&gt;5,ES53,""))</f>
        <v/>
      </c>
      <c r="ET54" s="88" t="str">
        <f t="shared" ref="ET54" si="2265">IF(O53="Hybrid - Thrust + 2 connections",IF(COUNTIF($EK53:$FN53,ET53)&gt;1,ET53,""),IF(COUNTIF($EK53:$FN53,ET53)&gt;5,ET53,""))</f>
        <v/>
      </c>
      <c r="EU54" s="88" t="str">
        <f t="shared" ref="EU54" si="2266">IF(P53="Hybrid - Thrust + 2 connections",IF(COUNTIF($EK53:$FN53,EU53)&gt;1,EU53,""),IF(COUNTIF($EK53:$FN53,EU53)&gt;5,EU53,""))</f>
        <v/>
      </c>
      <c r="EV54" s="88" t="str">
        <f t="shared" ref="EV54" si="2267">IF(Q53="Hybrid - Thrust + 2 connections",IF(COUNTIF($EK53:$FN53,EV53)&gt;1,EV53,""),IF(COUNTIF($EK53:$FN53,EV53)&gt;5,EV53,""))</f>
        <v/>
      </c>
      <c r="EW54" s="88" t="str">
        <f t="shared" ref="EW54" si="2268">IF(R53="Hybrid - Thrust + 2 connections",IF(COUNTIF($EK53:$FN53,EW53)&gt;1,EW53,""),IF(COUNTIF($EK53:$FN53,EW53)&gt;5,EW53,""))</f>
        <v/>
      </c>
      <c r="EX54" s="88" t="str">
        <f t="shared" ref="EX54" si="2269">IF(S53="Hybrid - Thrust + 2 connections",IF(COUNTIF($EK53:$FN53,EX53)&gt;1,EX53,""),IF(COUNTIF($EK53:$FN53,EX53)&gt;5,EX53,""))</f>
        <v/>
      </c>
      <c r="EY54" s="88" t="str">
        <f t="shared" ref="EY54" si="2270">IF(T53="Hybrid - Thrust + 2 connections",IF(COUNTIF($EK53:$FN53,EY53)&gt;1,EY53,""),IF(COUNTIF($EK53:$FN53,EY53)&gt;5,EY53,""))</f>
        <v/>
      </c>
      <c r="EZ54" s="88" t="str">
        <f t="shared" ref="EZ54" si="2271">IF(U53="Hybrid - Thrust + 2 connections",IF(COUNTIF($EK53:$FN53,EZ53)&gt;1,EZ53,""),IF(COUNTIF($EK53:$FN53,EZ53)&gt;5,EZ53,""))</f>
        <v/>
      </c>
      <c r="FA54" s="88" t="str">
        <f t="shared" ref="FA54" si="2272">IF(V53="Hybrid - Thrust + 2 connections",IF(COUNTIF($EK53:$FN53,FA53)&gt;1,FA53,""),IF(COUNTIF($EK53:$FN53,FA53)&gt;5,FA53,""))</f>
        <v/>
      </c>
      <c r="FB54" s="88" t="str">
        <f t="shared" ref="FB54" si="2273">IF(W53="Hybrid - Thrust + 2 connections",IF(COUNTIF($EK53:$FN53,FB53)&gt;1,FB53,""),IF(COUNTIF($EK53:$FN53,FB53)&gt;5,FB53,""))</f>
        <v/>
      </c>
      <c r="FC54" s="88" t="str">
        <f t="shared" ref="FC54" si="2274">IF(X53="Hybrid - Thrust + 2 connections",IF(COUNTIF($EK53:$FN53,FC53)&gt;1,FC53,""),IF(COUNTIF($EK53:$FN53,FC53)&gt;5,FC53,""))</f>
        <v/>
      </c>
      <c r="FD54" s="88" t="str">
        <f t="shared" ref="FD54" si="2275">IF(Y53="Hybrid - Thrust + 2 connections",IF(COUNTIF($EK53:$FN53,FD53)&gt;1,FD53,""),IF(COUNTIF($EK53:$FN53,FD53)&gt;5,FD53,""))</f>
        <v/>
      </c>
      <c r="FE54" s="88" t="str">
        <f t="shared" ref="FE54" si="2276">IF(Z53="Hybrid - Thrust + 2 connections",IF(COUNTIF($EK53:$FN53,FE53)&gt;1,FE53,""),IF(COUNTIF($EK53:$FN53,FE53)&gt;5,FE53,""))</f>
        <v/>
      </c>
      <c r="FF54" s="88" t="str">
        <f t="shared" ref="FF54" si="2277">IF(AA53="Hybrid - Thrust + 2 connections",IF(COUNTIF($EK53:$FN53,FF53)&gt;1,FF53,""),IF(COUNTIF($EK53:$FN53,FF53)&gt;5,FF53,""))</f>
        <v/>
      </c>
      <c r="FG54" s="88" t="str">
        <f t="shared" ref="FG54" si="2278">IF(AB53="Hybrid - Thrust + 2 connections",IF(COUNTIF($EK53:$FN53,FG53)&gt;1,FG53,""),IF(COUNTIF($EK53:$FN53,FG53)&gt;5,FG53,""))</f>
        <v/>
      </c>
      <c r="FH54" s="88" t="str">
        <f t="shared" ref="FH54" si="2279">IF(AC53="Hybrid - Thrust + 2 connections",IF(COUNTIF($EK53:$FN53,FH53)&gt;1,FH53,""),IF(COUNTIF($EK53:$FN53,FH53)&gt;5,FH53,""))</f>
        <v/>
      </c>
      <c r="FI54" s="88" t="str">
        <f t="shared" ref="FI54" si="2280">IF(AD53="Hybrid - Thrust + 2 connections",IF(COUNTIF($EK53:$FN53,FI53)&gt;1,FI53,""),IF(COUNTIF($EK53:$FN53,FI53)&gt;5,FI53,""))</f>
        <v/>
      </c>
      <c r="FJ54" s="88" t="str">
        <f t="shared" ref="FJ54" si="2281">IF(AE53="Hybrid - Thrust + 2 connections",IF(COUNTIF($EK53:$FN53,FJ53)&gt;1,FJ53,""),IF(COUNTIF($EK53:$FN53,FJ53)&gt;5,FJ53,""))</f>
        <v/>
      </c>
      <c r="FK54" s="88" t="str">
        <f t="shared" ref="FK54" si="2282">IF(AF53="Hybrid - Thrust + 2 connections",IF(COUNTIF($EK53:$FN53,FK53)&gt;1,FK53,""),IF(COUNTIF($EK53:$FN53,FK53)&gt;5,FK53,""))</f>
        <v/>
      </c>
      <c r="FL54" s="88" t="str">
        <f t="shared" ref="FL54" si="2283">IF(AG53="Hybrid - Thrust + 2 connections",IF(COUNTIF($EK53:$FN53,FL53)&gt;1,FL53,""),IF(COUNTIF($EK53:$FN53,FL53)&gt;5,FL53,""))</f>
        <v/>
      </c>
      <c r="FM54" s="88" t="str">
        <f t="shared" ref="FM54" si="2284">IF(AH53="Hybrid - Thrust + 2 connections",IF(COUNTIF($EK53:$FN53,FM53)&gt;1,FM53,""),IF(COUNTIF($EK53:$FN53,FM53)&gt;5,FM53,""))</f>
        <v/>
      </c>
      <c r="FN54" s="88" t="str">
        <f t="shared" ref="FN54" si="2285">IF(AI53="Hybrid - Thrust + 2 connections",IF(COUNTIF($EK53:$FN53,FN53)&gt;1,FN53,""),IF(COUNTIF($EK53:$FN53,FN53)&gt;5,FN53,""))</f>
        <v/>
      </c>
      <c r="FO54" s="88">
        <f t="shared" ref="FO54" si="2286">FO52+5</f>
        <v>85</v>
      </c>
      <c r="FP54" s="88" t="str" cm="1">
        <f t="array" ref="FP54">IF(FQ54&lt;&gt;"",LEFT(FQ54,FIND("*",FQ54)-1),INDEX($FP$75:$FP$172,FO54+1))</f>
        <v/>
      </c>
      <c r="FQ54" s="88" t="str" cm="1">
        <f t="array" ref="FQ54">INDEX($FQ$75:$FQ$172,FO54+1)</f>
        <v/>
      </c>
      <c r="FR54" s="285"/>
      <c r="FS54" s="285"/>
      <c r="FT54" s="285"/>
      <c r="FU54" s="285"/>
      <c r="FV54" s="285"/>
      <c r="FW54" s="285"/>
      <c r="FX54" s="285"/>
      <c r="FY54" s="285"/>
      <c r="FZ54" s="285"/>
      <c r="GA54" s="285"/>
      <c r="GB54" s="285"/>
      <c r="GC54" s="285"/>
      <c r="GD54" s="285"/>
      <c r="GE54" s="285"/>
      <c r="GF54" s="285"/>
      <c r="GG54" s="285"/>
      <c r="GH54" s="285"/>
      <c r="GI54" s="285"/>
      <c r="GJ54" s="285"/>
      <c r="GK54" s="285"/>
      <c r="GL54" s="285"/>
      <c r="GM54" s="285"/>
      <c r="GN54" s="285"/>
      <c r="GO54" s="285"/>
      <c r="GP54" s="285"/>
      <c r="GQ54" s="285"/>
      <c r="GR54" s="285"/>
      <c r="GS54" s="285"/>
      <c r="GT54" s="285"/>
      <c r="GU54" s="285"/>
      <c r="GV54" s="88"/>
      <c r="GW54" s="88"/>
      <c r="GX54" s="88"/>
      <c r="GY54" s="88"/>
      <c r="GZ54" s="88"/>
      <c r="HA54" s="88"/>
      <c r="HB54" s="88"/>
      <c r="HC54" s="88"/>
      <c r="HD54" s="88" t="str">
        <f>IF($F53="Hybrid - Thrust + 2 connections",COUNTBLANK(J53:L53),"")</f>
        <v/>
      </c>
      <c r="HE54" s="88"/>
      <c r="HF54" s="91"/>
      <c r="HG54" s="91"/>
      <c r="HH54" s="91"/>
      <c r="HI54" s="91"/>
    </row>
    <row r="55" spans="1:222" ht="12.75" customHeight="1" x14ac:dyDescent="0.35">
      <c r="A55" s="28" t="str">
        <f>IF(AND(E53="",A53&lt;&gt;""),IF(CP53=$CP$18,"",IF(C53&lt;&gt;"",IF(D53=59,MINUTE(CP53)+1,MINUTE(CP53)),"")),"")</f>
        <v/>
      </c>
      <c r="B55" s="29" t="str">
        <f>IF(AND(E53="",B53&lt;&gt;""),IF(CP53=$CP$18,"",IF(C53&lt;&gt;"",IF(D53=59,0,SECOND(CP53)+1),"")),"")</f>
        <v/>
      </c>
      <c r="C55" s="39"/>
      <c r="D55" s="39"/>
      <c r="E55" s="9"/>
      <c r="F55" s="40"/>
      <c r="G55" s="31" t="str">
        <f>IF(F55&lt;&gt;"",IF(OR(F55="Transition",F55="Transition - Surface Connection"),0,MAX($G$19:G54)+1),"")</f>
        <v/>
      </c>
      <c r="H55" s="43" t="str">
        <f>IFERROR(IF(E56="3","",IF(OR(F55="Hybrid - Choreography (DD = 1)",LEFT(F55,5)="Trans"),"No DD",CONCATENATE("BM = ",I56))),"")</f>
        <v/>
      </c>
      <c r="I55" s="44"/>
      <c r="J55" s="109"/>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58"/>
      <c r="AO55" s="32"/>
      <c r="AP55" s="61"/>
      <c r="AQ55" s="61"/>
      <c r="AR55" s="90"/>
      <c r="AS55" s="90"/>
      <c r="AT55" s="90"/>
      <c r="AU55" s="90"/>
      <c r="AV55" s="90"/>
      <c r="AW55" s="91" t="str">
        <f t="shared" ref="AW55" si="2287">E56</f>
        <v/>
      </c>
      <c r="AX55" s="94" t="str">
        <f t="shared" ref="AX55" si="2288">IF(AY55=0,"",TIME(0,A55,B55))</f>
        <v/>
      </c>
      <c r="AY55" s="94">
        <f t="shared" ref="AY55" si="2289">TIME(0,C55,D55)</f>
        <v>0</v>
      </c>
      <c r="AZ55" s="94" t="str">
        <f t="shared" ref="AZ55" si="2290">IFERROR(AY55-AX55,"")</f>
        <v/>
      </c>
      <c r="BA55" s="237" t="str">
        <f t="shared" ref="BA55" si="2291">IF($AX$17=0,"",IF(AND($C$10&lt;&gt;"",AW55="H",AZ55&gt;$AX$17),"X",""))</f>
        <v/>
      </c>
      <c r="BB55" s="90"/>
      <c r="BC55" s="90"/>
      <c r="BD55" s="90"/>
      <c r="BE55" s="90"/>
      <c r="BF55" s="90"/>
      <c r="BG55" s="90" t="str">
        <f>IFERROR(IF(F55&lt;&gt;"",INDEX(Parts_Active,MATCH(F55,Parts_Active,0)),""),"No")</f>
        <v/>
      </c>
      <c r="BH55" s="90"/>
      <c r="BI55" s="90" t="str">
        <f>IF($E56="H",IF($F55="Hybrid - Thrust + 2 connections","Hybrid_Mix_Req",IF($F55="Hybrid - Choreography (DD = 1)","Hybrid_ChoHY","HybridDD_Code")),IF($E56=3,"TreDD_Code",IF($E56="PA","AcroPair_Code",IF(LEFT($F55,4)="Acro",CONCATENATE(BI$16,$E56,"_Code"),"Data!$BI$1:$BI$5"))))</f>
        <v>Data!$BI$1:$BI$5</v>
      </c>
      <c r="BJ55" s="90" t="str">
        <f t="shared" ref="BJ55" si="2292">IF($E56="H",IF($F55="Hybrid - Thrust + 2 connections","Hybrid_Mix_Req",IF($F55="Hybrid - min 4 swimmers (no DD)","Data!$BI$1:$BI$5","HybridDD_Code")),IF($E56=3,"TreDD_Code",IF($E56="PA","AcroPair_Code",IF(LEFT($F55,4)="Acro",CONCATENATE(BJ$16,$E56,"_Code"),"Data!$BI$1:$BI$5"))))</f>
        <v>Data!$BI$1:$BI$5</v>
      </c>
      <c r="BK55" s="90" t="str">
        <f t="shared" si="978"/>
        <v>Data!$BI$1:$BI$5</v>
      </c>
      <c r="BL55" s="90" t="str">
        <f t="shared" si="978"/>
        <v>Data!$BI$1:$BI$5</v>
      </c>
      <c r="BM55" s="90" t="str">
        <f t="shared" si="978"/>
        <v>Data!$BI$1:$BI$5</v>
      </c>
      <c r="BN55" s="90" t="str">
        <f t="shared" si="978"/>
        <v>Data!$BI$1:$BI$5</v>
      </c>
      <c r="BO55" s="90" t="str">
        <f t="shared" si="978"/>
        <v>Data!$BI$1:$BI$5</v>
      </c>
      <c r="BP55" s="90" t="str">
        <f t="shared" si="978"/>
        <v>Data!$BI$1:$BI$5</v>
      </c>
      <c r="BQ55" s="90" t="str">
        <f t="shared" si="978"/>
        <v>Data!$BI$1:$BI$5</v>
      </c>
      <c r="BR55" s="90" t="str">
        <f t="shared" ref="BR55" si="2293">IF($E56="H",IF($F55="Hybrid - Thrust + 2 connections","Data!$BI$1:$BI$5","HybridDD_Code"),"Data!$BI$1:$BI$5")</f>
        <v>Data!$BI$1:$BI$5</v>
      </c>
      <c r="BS55" s="90" t="str">
        <f t="shared" si="445"/>
        <v>Data!$BI$1:$BI$5</v>
      </c>
      <c r="BT55" s="90" t="str">
        <f t="shared" si="445"/>
        <v>Data!$BI$1:$BI$5</v>
      </c>
      <c r="BU55" s="90" t="str">
        <f t="shared" si="445"/>
        <v>Data!$BI$1:$BI$5</v>
      </c>
      <c r="BV55" s="90" t="str">
        <f t="shared" si="445"/>
        <v>Data!$BI$1:$BI$5</v>
      </c>
      <c r="BW55" s="90" t="str">
        <f t="shared" si="445"/>
        <v>Data!$BI$1:$BI$5</v>
      </c>
      <c r="BX55" s="90" t="str">
        <f t="shared" si="445"/>
        <v>Data!$BI$1:$BI$5</v>
      </c>
      <c r="BY55" s="90" t="str">
        <f t="shared" si="445"/>
        <v>Data!$BI$1:$BI$5</v>
      </c>
      <c r="BZ55" s="90" t="str">
        <f t="shared" si="445"/>
        <v>Data!$BI$1:$BI$5</v>
      </c>
      <c r="CA55" s="90" t="str">
        <f t="shared" si="445"/>
        <v>Data!$BI$1:$BI$5</v>
      </c>
      <c r="CB55" s="90" t="str">
        <f t="shared" si="445"/>
        <v>Data!$BI$1:$BI$5</v>
      </c>
      <c r="CC55" s="90" t="str">
        <f t="shared" si="445"/>
        <v>Data!$BI$1:$BI$5</v>
      </c>
      <c r="CD55" s="90" t="str">
        <f t="shared" si="445"/>
        <v>Data!$BI$1:$BI$5</v>
      </c>
      <c r="CE55" s="90" t="str">
        <f t="shared" si="445"/>
        <v>Data!$BI$1:$BI$5</v>
      </c>
      <c r="CF55" s="90" t="str">
        <f t="shared" si="445"/>
        <v>Data!$BI$1:$BI$5</v>
      </c>
      <c r="CG55" s="90" t="str">
        <f t="shared" si="445"/>
        <v>Data!$BI$1:$BI$5</v>
      </c>
      <c r="CH55" s="90" t="str">
        <f t="shared" si="445"/>
        <v>Data!$BI$1:$BI$5</v>
      </c>
      <c r="CI55" s="90" t="str">
        <f t="shared" si="980"/>
        <v>Data!$BI$1:$BI$5</v>
      </c>
      <c r="CJ55" s="90" t="str">
        <f t="shared" si="980"/>
        <v>Data!$BI$1:$BI$5</v>
      </c>
      <c r="CK55" s="90" t="str">
        <f t="shared" si="980"/>
        <v>Data!$BI$1:$BI$5</v>
      </c>
      <c r="CL55" s="90" t="str">
        <f t="shared" si="980"/>
        <v>Data!$BI$1:$BI$5</v>
      </c>
      <c r="CM55" s="90"/>
      <c r="CN55" s="90"/>
      <c r="CO55" s="93" t="str">
        <f>IFERROR(TIME(0,A55,B55),"")</f>
        <v/>
      </c>
      <c r="CP55" s="94">
        <f>IFERROR(TIME(0,C55,D55),"")</f>
        <v>0</v>
      </c>
      <c r="CQ55" s="94" t="str">
        <f t="shared" ref="CQ55" si="2294">IF(CP55&gt;$D$12,"X","")</f>
        <v/>
      </c>
      <c r="CR55" s="88" t="str">
        <f>IF(AND(F55="Hybrid - Thrust + 2 connections",OR(LEFT(J55,1)="T",LEFT(K55,1)="T",LEFT(L55,1)="T",LEFT(PB55,1)="T",LEFT(M55,1)="T",LEFT(N55,1)="T",LEFT(O55,1)="T",LEFT(P55,1)="T",LEFT(Q55,1)="T",LEFT(R55,1)="T",LEFT(S55,1)="T",LEFT(T55,1)="T",LEFT(U55,1)="T",LEFT(V55,1)="T",LEFT(W55,1)="T",LEFT(X55,1)="T",LEFT(AK55,1)="T",LEFT(AL55,1)="T",LEFT(AM55,1)="T")),IF(OR(LEN(J55)=2,LEN(K55)=2,LEN(L55)=2,LEN(M55)=2,LEN(N55)=2,LEN(O55)=2,LEN(P55)=2,LEN(Q55)=2,LEN(R55)=2,LEN(S55)=2,LEN(T55)=2,LEN(U55)=2,LEN(V55)=2,LEN(W55)=2,LEN(X55)=2,LEN(Y55)=2,LEN(Z55)=2,LEN(AK55)=2,LEN(AL55)=2,LEN(AM55)=2),"X",""),"")</f>
        <v/>
      </c>
      <c r="CS55" s="91" t="str">
        <f>IF(F55="Hybrid",SECOND(CP55),"")</f>
        <v/>
      </c>
      <c r="CT55" s="88" t="str">
        <f>IF(LEFT(F55,4)="Acro",IF(AND(N55&lt;&gt;"",M55=RIGHT(N55,2)),"X","OK"),"")</f>
        <v/>
      </c>
      <c r="CU55" s="90" t="str">
        <f t="shared" ref="CU55:DB55" si="2295">IFERROR(IF(AND(LEFT($F55,4)="Acro",INDEX(Requ_App,MATCH(BI55,Requ_Code,0))="No"),"X",""),"")</f>
        <v/>
      </c>
      <c r="CV55" s="90" t="str">
        <f t="shared" si="2295"/>
        <v/>
      </c>
      <c r="CW55" s="90" t="str">
        <f t="shared" si="2295"/>
        <v/>
      </c>
      <c r="CX55" s="90" t="str">
        <f t="shared" si="2295"/>
        <v/>
      </c>
      <c r="CY55" s="90" t="str">
        <f t="shared" si="2295"/>
        <v/>
      </c>
      <c r="CZ55" s="90" t="str">
        <f t="shared" si="2295"/>
        <v/>
      </c>
      <c r="DA55" s="90" t="str">
        <f t="shared" si="2295"/>
        <v/>
      </c>
      <c r="DB55" s="90" t="str">
        <f t="shared" si="2295"/>
        <v/>
      </c>
      <c r="DC55" s="90" t="str">
        <f>IFERROR(IF(AND(LEFT($F55,4)="Acro",INDEX(Requ_App,MATCH(BP55,Requ_Code,0))="No"),"X",""),"")</f>
        <v/>
      </c>
      <c r="DD55" s="88" t="str">
        <f t="shared" si="2030"/>
        <v/>
      </c>
      <c r="DE55" s="88" t="str">
        <f t="shared" si="2031"/>
        <v/>
      </c>
      <c r="DF55" s="88" t="str">
        <f t="shared" si="2032"/>
        <v/>
      </c>
      <c r="DG55" s="88" t="str">
        <f t="shared" si="2033"/>
        <v/>
      </c>
      <c r="DK55" s="88">
        <f t="shared" ref="DK55" si="2296">IF(AND(E56="A",OR(Q55="Grip",Q55="Conn",Q55="Catch")),"A1",IF(AND(E56="A",OR(Q55="Hula",Q55="RetSq",Q55="RetPa")),"A2",IF(AND(E56="B",OR(Q55="Twirl",Q55="RotF")),"B1",IF(AND(E56="B",OR(Q55="Moon",Q55="Mov",Q55="Hold")),"B2",IF(AND(E56="P",OR(Q55="Porp",Q55="Splch")),"P1",IF(AND(E56="P",OR(Q55="Diva",Q55="Stand")),"P2",IF(AND(E56="P",OR(Q55="Spider",Q55="Climb")),"P3",IF(AND(E56="P",OR(Q55="Fall",Q55="FTurn")),"P4",IF(AND(E56="C",OR(Q55="Jump",Q55="Jump&gt;",Q55="On1Foot",Q55="1F&gt;1F")),"C1",IF(AND(E56="C",OR(Q55="Run",Q55="BRun")),"C2",1))))))))))</f>
        <v>1</v>
      </c>
      <c r="DL55" s="88">
        <f t="shared" ref="DL55" si="2297">IF(AND(E56="A",OR(R55="Grip",R55="Conn",R55="Catch")),"A1",IF(AND(E56="A",OR(R55="Hula",R55="RetSq",R55="RetPa")),"A2",IF(AND(E56="B",OR(R55="Twirl",R55="RotF")),"B1",IF(AND(E56="B",OR(R55="Moon",R55="Mov",R55="Hold")),"B2",IF(AND(E56="P",OR(R55="Porp",R55="Spich")),"P1",IF(AND(E56="P",OR(R55="Diva",R55="Stand")),"P2",IF(AND(E56="P",OR(R55="Spider",R55="Climb")),"P3",IF(AND(E56="P",OR(R55="Fall",R55="FTurn")),"P4",IF(AND(E56="C",OR(R55="Jump",R55="Jump&gt;",R55="On1Foot",R55="1F&gt;1F")),"C1",IF(AND(E56="C",OR(R55="Run",R55="BRun")),"C2",2))))))))))</f>
        <v>2</v>
      </c>
      <c r="DM55" s="88" t="str">
        <f t="shared" ref="DM55" si="2298">IF(AND(N55="",OR(Q55&lt;&gt;"",R55&lt;&gt;"")),"X",IF(AND(LEFT(F55,4)="Acro",Q55&lt;&gt;"",OR(Q55=R55,DK55=DL55)),IF(R55="C-Roll","","X"),IF(OR(AND(E56="A",Q55="Catch",R55&lt;&gt;"Dbl"),AND(E56="A",R55="Catch",Q55&lt;&gt;"Dbl")),"X","")))</f>
        <v/>
      </c>
      <c r="DN55" s="88" t="str">
        <f>IF(E56="PA",J55,"")</f>
        <v/>
      </c>
      <c r="DO55" s="88">
        <v>37</v>
      </c>
      <c r="DQ55" s="88" t="str">
        <f>IF(AND($E56="A",COUNTIF($DZ$19:$EA$68,DZ55)&gt;1),DZ55,"")</f>
        <v/>
      </c>
      <c r="DR55" s="88" t="str">
        <f>IF(AND($E56="A",COUNTIF($DZ$19:$EA$68,EA55)&gt;1),EA55,"")</f>
        <v/>
      </c>
      <c r="DS55" s="88" t="str">
        <f ca="1">IF(AND($E56="B",COUNTIF($J$19:$J$68,J55)&gt;1),J55,"")</f>
        <v/>
      </c>
      <c r="DT55" s="88" t="str">
        <f ca="1">IF(AND($E56="B",COUNTIF($K$19:$K$68,K55)&gt;1),K55,"")</f>
        <v/>
      </c>
      <c r="DU55" s="88" t="str">
        <f ca="1">IF(AND($E56="C",COUNTIF($J$19:$J$68,J55)&gt;1),J55,"")</f>
        <v/>
      </c>
      <c r="DV55" s="88" t="str">
        <f ca="1">IF(AND($E56="P",COUNTIF($J$19:$J$68,J55)&gt;1),J55,"")</f>
        <v/>
      </c>
      <c r="DW55" s="88" t="str">
        <f ca="1">IF(AND($E56="P",COUNTIF($K$19:$K$68,K55)&gt;1),K55,"")</f>
        <v/>
      </c>
      <c r="DX55" s="88" t="str">
        <f>IF(AND($E56="P",COUNTIF($DZ$19:$EA$68,DZ55)&gt;1),DZ55,"")</f>
        <v/>
      </c>
      <c r="DY55" s="88" t="str">
        <f>IF(AND($E56="P",COUNTIF($DZ$19:$EA$68,EA55)&gt;1),EA55,"")</f>
        <v/>
      </c>
      <c r="DZ55" s="88" t="str">
        <f>IFERROR(IF(OR(E56="A",E56="P"),M55,""),"")</f>
        <v/>
      </c>
      <c r="EA55" s="88" t="str">
        <f>IFERROR(IF(OR(E56="A",E56="P"),RIGHT(N55,2),""),"")</f>
        <v/>
      </c>
      <c r="EB55" s="88" t="str">
        <f t="shared" ref="EB55" si="2299">IF(Q55="","",IF(AND($E56="P",COUNTIF($Q$19:$R$68,Q55)&gt;1),Q55,""))</f>
        <v/>
      </c>
      <c r="EC55" s="88" t="str">
        <f t="shared" ref="EC55" si="2300">IF(R55="","",IF(AND($E56="P",COUNTIF($Q$19:$R$68,R55)&gt;1),R55,""))</f>
        <v/>
      </c>
      <c r="ED55" s="88" t="str">
        <f t="shared" si="14"/>
        <v/>
      </c>
      <c r="EE55" s="88" t="str">
        <f t="shared" si="15"/>
        <v/>
      </c>
      <c r="EF55" s="88" t="str">
        <f t="shared" ref="EF55" si="2301">IF(AND(OR($F$8="Open Team Acrobatic",$F$8="Open Team Technical"),LEFT(F55,4)="Acro"),E56,"")</f>
        <v/>
      </c>
      <c r="EG55" s="88" t="str">
        <f t="shared" ref="EG55" si="2302">IF(EF55="","",IFERROR(IF($F$8="Open Team Acrobatic",IF(HLOOKUP(EF55,$DQ$12:$DT$13,2,FALSE)&gt;2,"X",""),IF(HLOOKUP(EF55,$DQ$12:$DT$13,2,FALSE)&gt;1,"X","")),""))</f>
        <v/>
      </c>
      <c r="EI55" s="88" t="str">
        <f t="shared" ref="EI55" si="2303">IF(OR(AND(F55="Hybrid - Thrust + 2 connections",EI56="T"),AND(E56="H",EI56&lt;&gt;"",EI109="X")),"X","")</f>
        <v/>
      </c>
      <c r="EK55" s="88">
        <f t="shared" ref="EK55" si="2304">IFERROR(IF(AND($E56="H",J55&lt;&gt;"",J55&lt;&gt;"ChoHY"),IF(OR(LEFT(J55,1)="T",LEFT(J55,1)="S",LEFT(J55,1)="A",LEFT(J55,1)="F",LEFT(J55,1)="C"),LEFT(J55,1),"R"),EK$18),"")</f>
        <v>1</v>
      </c>
      <c r="EL55" s="88">
        <f t="shared" ref="EL55" si="2305">IFERROR(IF(AND($E56="H",K55&lt;&gt;""),IF(OR(LEFT(K55,1)="T",LEFT(K55,1)="S",LEFT(K55,1)="A",LEFT(K55,1)="F",LEFT(K55,1)="C"),LEFT(K55,1),"R"),EL$18),"")</f>
        <v>2</v>
      </c>
      <c r="EM55" s="88">
        <f t="shared" ref="EM55" si="2306">IFERROR(IF(AND($E56="H",L55&lt;&gt;""),IF(OR(LEFT(L55,1)="T",LEFT(L55,1)="S",LEFT(L55,1)="A",LEFT(L55,1)="F",LEFT(L55,1)="C"),LEFT(L55,1),"R"),EM$18),"")</f>
        <v>3</v>
      </c>
      <c r="EN55" s="88">
        <f t="shared" ref="EN55" si="2307">IFERROR(IF(AND($E56="H",M55&lt;&gt;""),IF(OR(LEFT(M55,1)="T",LEFT(M55,1)="S",LEFT(M55,1)="A",LEFT(M55,1)="F",LEFT(M55,1)="C"),LEFT(M55,1),"R"),EN$18),"")</f>
        <v>4</v>
      </c>
      <c r="EO55" s="88">
        <f t="shared" ref="EO55" si="2308">IFERROR(IF(AND($E56="H",N55&lt;&gt;""),IF(OR(LEFT(N55,1)="T",LEFT(N55,1)="S",LEFT(N55,1)="A",LEFT(N55,1)="F",LEFT(N55,1)="C"),LEFT(N55,1),"R"),EO$18),"")</f>
        <v>5</v>
      </c>
      <c r="EP55" s="88">
        <f t="shared" ref="EP55" si="2309">IFERROR(IF(AND($E56="H",O55&lt;&gt;""),IF(OR(LEFT(O55,1)="T",LEFT(O55,1)="S",LEFT(O55,1)="A",LEFT(O55,1)="F",LEFT(O55,1)="C"),LEFT(O55,1),"R"),EP$18),"")</f>
        <v>6</v>
      </c>
      <c r="EQ55" s="88">
        <f t="shared" ref="EQ55" si="2310">IFERROR(IF(AND($E56="H",P55&lt;&gt;""),IF(OR(LEFT(P55,1)="T",LEFT(P55,1)="S",LEFT(P55,1)="A",LEFT(P55,1)="F",LEFT(P55,1)="C"),LEFT(P55,1),"R"),EQ$18),"")</f>
        <v>7</v>
      </c>
      <c r="ER55" s="88">
        <f t="shared" ref="ER55" si="2311">IFERROR(IF(AND($E56="H",Q55&lt;&gt;""),IF(OR(LEFT(Q55,1)="T",LEFT(Q55,1)="S",LEFT(Q55,1)="A",LEFT(Q55,1)="F",LEFT(Q55,1)="C"),LEFT(Q55,1),"R"),ER$18),"")</f>
        <v>8</v>
      </c>
      <c r="ES55" s="88">
        <f t="shared" ref="ES55" si="2312">IFERROR(IF(AND($E56="H",R55&lt;&gt;""),IF(OR(LEFT(R55,1)="T",LEFT(R55,1)="S",LEFT(R55,1)="A",LEFT(R55,1)="F",LEFT(R55,1)="C"),LEFT(R55,1),"R"),ES$18),"")</f>
        <v>9</v>
      </c>
      <c r="ET55" s="88">
        <f t="shared" ref="ET55" si="2313">IFERROR(IF(AND($E56="H",S55&lt;&gt;""),IF(OR(LEFT(S55,1)="T",LEFT(S55,1)="S",LEFT(S55,1)="A",LEFT(S55,1)="F",LEFT(S55,1)="C"),LEFT(S55,1),"R"),ET$18),"")</f>
        <v>10</v>
      </c>
      <c r="EU55" s="88">
        <f t="shared" ref="EU55" si="2314">IFERROR(IF(AND($E56="H",T55&lt;&gt;""),IF(OR(LEFT(T55,1)="T",LEFT(T55,1)="S",LEFT(T55,1)="A",LEFT(T55,1)="F",LEFT(T55,1)="C"),LEFT(T55,1),"R"),EU$18),"")</f>
        <v>11</v>
      </c>
      <c r="EV55" s="88">
        <f t="shared" ref="EV55" si="2315">IFERROR(IF(AND($E56="H",U55&lt;&gt;""),IF(OR(LEFT(U55,1)="T",LEFT(U55,1)="S",LEFT(U55,1)="A",LEFT(U55,1)="F",LEFT(U55,1)="C"),LEFT(U55,1),"R"),EV$18),"")</f>
        <v>12</v>
      </c>
      <c r="EW55" s="88">
        <f t="shared" ref="EW55" si="2316">IFERROR(IF(AND($E56="H",V55&lt;&gt;""),IF(OR(LEFT(V55,1)="T",LEFT(V55,1)="S",LEFT(V55,1)="A",LEFT(V55,1)="F",LEFT(V55,1)="C"),LEFT(V55,1),"R"),EW$18),"")</f>
        <v>13</v>
      </c>
      <c r="EX55" s="88">
        <f t="shared" ref="EX55" si="2317">IFERROR(IF(AND($E56="H",W55&lt;&gt;""),IF(OR(LEFT(W55,1)="T",LEFT(W55,1)="S",LEFT(W55,1)="A",LEFT(W55,1)="F",LEFT(W55,1)="C"),LEFT(W55,1),"R"),EX$18),"")</f>
        <v>14</v>
      </c>
      <c r="EY55" s="88">
        <f t="shared" ref="EY55" si="2318">IFERROR(IF(AND($E56="H",X55&lt;&gt;""),IF(OR(LEFT(X55,1)="T",LEFT(X55,1)="S",LEFT(X55,1)="A",LEFT(X55,1)="F",LEFT(X55,1)="C"),LEFT(X55,1),"R"),EY$18),"")</f>
        <v>15</v>
      </c>
      <c r="EZ55" s="88">
        <f t="shared" ref="EZ55" si="2319">IFERROR(IF(AND($E56="H",Y55&lt;&gt;""),IF(OR(LEFT(Y55,1)="T",LEFT(Y55,1)="S",LEFT(Y55,1)="A",LEFT(Y55,1)="F",LEFT(Y55,1)="C"),LEFT(Y55,1),"R"),EZ$18),"")</f>
        <v>16</v>
      </c>
      <c r="FA55" s="88">
        <f t="shared" ref="FA55" si="2320">IFERROR(IF(AND($E56="H",Z55&lt;&gt;""),IF(OR(LEFT(Z55,1)="T",LEFT(Z55,1)="S",LEFT(Z55,1)="A",LEFT(Z55,1)="F",LEFT(Z55,1)="C"),LEFT(Z55,1),"R"),FA$18),"")</f>
        <v>17</v>
      </c>
      <c r="FB55" s="88">
        <f t="shared" ref="FB55" si="2321">IFERROR(IF(AND($E56="H",AA55&lt;&gt;""),IF(OR(LEFT(AA55,1)="T",LEFT(AA55,1)="S",LEFT(AA55,1)="A",LEFT(AA55,1)="F",LEFT(AA55,1)="C"),LEFT(AA55,1),"R"),FB$18),"")</f>
        <v>18</v>
      </c>
      <c r="FC55" s="88">
        <f t="shared" ref="FC55" si="2322">IFERROR(IF(AND($E56="H",AB55&lt;&gt;""),IF(OR(LEFT(AB55,1)="T",LEFT(AB55,1)="S",LEFT(AB55,1)="A",LEFT(AB55,1)="F",LEFT(AB55,1)="C"),LEFT(AB55,1),"R"),FC$18),"")</f>
        <v>19</v>
      </c>
      <c r="FD55" s="88">
        <f t="shared" ref="FD55" si="2323">IFERROR(IF(AND($E56="H",AC55&lt;&gt;""),IF(OR(LEFT(AC55,1)="T",LEFT(AC55,1)="S",LEFT(AC55,1)="A",LEFT(AC55,1)="F",LEFT(AC55,1)="C"),LEFT(AC55,1),"R"),FD$18),"")</f>
        <v>20</v>
      </c>
      <c r="FE55" s="88">
        <f t="shared" ref="FE55" si="2324">IFERROR(IF(AND($E56="H",AD55&lt;&gt;""),IF(OR(LEFT(AD55,1)="T",LEFT(AD55,1)="S",LEFT(AD55,1)="A",LEFT(AD55,1)="F",LEFT(AD55,1)="C"),LEFT(AD55,1),"R"),FE$18),"")</f>
        <v>21</v>
      </c>
      <c r="FF55" s="88">
        <f t="shared" ref="FF55" si="2325">IFERROR(IF(AND($E56="H",AE55&lt;&gt;""),IF(OR(LEFT(AE55,1)="T",LEFT(AE55,1)="S",LEFT(AE55,1)="A",LEFT(AE55,1)="F",LEFT(AE55,1)="C"),LEFT(AE55,1),"R"),FF$18),"")</f>
        <v>22</v>
      </c>
      <c r="FG55" s="88">
        <f t="shared" ref="FG55" si="2326">IFERROR(IF(AND($E56="H",AF55&lt;&gt;""),IF(OR(LEFT(AF55,1)="T",LEFT(AF55,1)="S",LEFT(AF55,1)="A",LEFT(AF55,1)="F",LEFT(AF55,1)="C"),LEFT(AF55,1),"R"),FG$18),"")</f>
        <v>23</v>
      </c>
      <c r="FH55" s="88">
        <f t="shared" ref="FH55" si="2327">IFERROR(IF(AND($E56="H",AG55&lt;&gt;""),IF(OR(LEFT(AG55,1)="T",LEFT(AG55,1)="S",LEFT(AG55,1)="A",LEFT(AG55,1)="F",LEFT(AG55,1)="C"),LEFT(AG55,1),"R"),FH$18),"")</f>
        <v>24</v>
      </c>
      <c r="FI55" s="88">
        <f t="shared" ref="FI55" si="2328">IFERROR(IF(AND($E56="H",AH55&lt;&gt;""),IF(OR(LEFT(AH55,1)="T",LEFT(AH55,1)="S",LEFT(AH55,1)="A",LEFT(AH55,1)="F",LEFT(AH55,1)="C"),LEFT(AH55,1),"R"),FI$18),"")</f>
        <v>25</v>
      </c>
      <c r="FJ55" s="88">
        <f t="shared" ref="FJ55" si="2329">IFERROR(IF(AND($E56="H",AI55&lt;&gt;""),IF(OR(LEFT(AI55,1)="T",LEFT(AI55,1)="S",LEFT(AI55,1)="A",LEFT(AI55,1)="F",LEFT(AI55,1)="C"),LEFT(AI55,1),"R"),FJ$18),"")</f>
        <v>26</v>
      </c>
      <c r="FK55" s="88">
        <f t="shared" ref="FK55" si="2330">IFERROR(IF(AND($E56="H",AJ55&lt;&gt;""),IF(OR(LEFT(AJ55,1)="T",LEFT(AJ55,1)="S",LEFT(AJ55,1)="A",LEFT(AJ55,1)="F",LEFT(AJ55,1)="C"),LEFT(AJ55,1),"R"),FK$18),"")</f>
        <v>27</v>
      </c>
      <c r="FL55" s="88">
        <f t="shared" ref="FL55" si="2331">IFERROR(IF(AND($E56="H",AK55&lt;&gt;""),IF(OR(LEFT(AK55,1)="T",LEFT(AK55,1)="S",LEFT(AK55,1)="A",LEFT(AK55,1)="F",LEFT(AK55,1)="C"),LEFT(AK55,1),"R"),FL$18),"")</f>
        <v>28</v>
      </c>
      <c r="FM55" s="88">
        <f t="shared" ref="FM55" si="2332">IFERROR(IF(AND($E56="H",AL55&lt;&gt;""),IF(OR(LEFT(AL55,1)="T",LEFT(AL55,1)="S",LEFT(AL55,1)="A",LEFT(AL55,1)="F",LEFT(AL55,1)="C"),LEFT(AL55,1),"R"),FM$18),"")</f>
        <v>29</v>
      </c>
      <c r="FN55" s="88">
        <f t="shared" ref="FN55" si="2333">IFERROR(IF(AND($E56="H",AM55&lt;&gt;""),IF(OR(LEFT(AM55,1)="T",LEFT(AM55,1)="S",LEFT(AM55,1)="A",LEFT(AM55,1)="F",LEFT(AM55,1)="C"),LEFT(AM55,1),"R"),FN$18),"")</f>
        <v>30</v>
      </c>
      <c r="FO55" s="88"/>
      <c r="FP55" s="88"/>
      <c r="FQ55" s="88"/>
      <c r="FR55" s="285"/>
      <c r="FS55" s="285"/>
      <c r="FT55" s="285"/>
      <c r="FU55" s="285"/>
      <c r="FV55" s="285"/>
      <c r="FW55" s="285"/>
      <c r="FX55" s="285"/>
      <c r="FY55" s="285"/>
      <c r="FZ55" s="285"/>
      <c r="GA55" s="285"/>
      <c r="GB55" s="285"/>
      <c r="GC55" s="285"/>
      <c r="GD55" s="285"/>
      <c r="GE55" s="285"/>
      <c r="GF55" s="285"/>
      <c r="GG55" s="285"/>
      <c r="GH55" s="285"/>
      <c r="GI55" s="285"/>
      <c r="GJ55" s="285"/>
      <c r="GK55" s="285"/>
      <c r="GL55" s="285"/>
      <c r="GM55" s="285"/>
      <c r="GN55" s="285"/>
      <c r="GO55" s="285"/>
      <c r="GP55" s="285"/>
      <c r="GQ55" s="285"/>
      <c r="GR55" s="285"/>
      <c r="GS55" s="285"/>
      <c r="GT55" s="285"/>
      <c r="GU55" s="285"/>
      <c r="GV55" s="88"/>
      <c r="GW55" s="88">
        <f t="shared" ref="GW55" si="2334">COUNTIF($EK55:$FN55,GW$18)</f>
        <v>0</v>
      </c>
      <c r="GX55" s="88">
        <f t="shared" si="1021"/>
        <v>0</v>
      </c>
      <c r="GY55" s="88">
        <f t="shared" si="1021"/>
        <v>0</v>
      </c>
      <c r="GZ55" s="88">
        <f t="shared" si="1021"/>
        <v>0</v>
      </c>
      <c r="HA55" s="88">
        <f t="shared" si="1021"/>
        <v>0</v>
      </c>
      <c r="HB55" s="88">
        <f t="shared" si="1021"/>
        <v>0</v>
      </c>
      <c r="HC55" s="88"/>
      <c r="HD55" s="88" t="str">
        <f t="shared" ref="HD55" si="2335">IF(AND($F55="Hybrid - Thrust + 2 connections",HD56=0,LEFT($J55,1)="C",LEFT($K55,1)="C",LEFT($L55,1)="C"),"X","")</f>
        <v/>
      </c>
      <c r="HE55" s="88"/>
      <c r="HF55" s="91"/>
      <c r="HG55" s="100"/>
      <c r="HH55" s="100"/>
      <c r="HI55" s="91" t="str">
        <f t="shared" ref="HI55" si="2336">IF(E56=3,IF(_xlfn.NUMBERVALUE(LEFT(J55,1))&gt;0,_xlfn.NUMBERVALUE(LEFT(J55,1)),""),"")</f>
        <v/>
      </c>
      <c r="HK55" s="91" t="str">
        <f t="shared" ref="HK55" si="2337">IF(OR(E56="B",E56="P"),E56,"")</f>
        <v/>
      </c>
      <c r="HL55" s="91" t="str">
        <f>IF(AND(J55&lt;&gt;"",HK55&lt;&gt;""),IF(HK55="B",MATCH(J55,AcroDD!$U$3:$AE$3,0),MATCH(J55,AcroDD!$U$30:$AC$30,0)),"")</f>
        <v/>
      </c>
      <c r="HM55" s="91" t="str">
        <f t="shared" ref="HM55" si="2338">IF(AND(K55&lt;&gt;"",HK55&lt;&gt;""),K55,"")</f>
        <v/>
      </c>
      <c r="HN55" s="91" t="str">
        <f>_xlfn.LET(_xlpm.lista,IF(HK55="B",INDEX(AcroDD!$T$4:$AE$23,0,HL55+1),INDEX(AcroDD!$T$31:$AC$50,0,HL55+1)),IF(AND(OR(HK55="B",HK55="P"),HL55&lt;&gt;"",HM55&lt;&gt;""),IF(ISNUMBER(MATCH(HM55,_xlpm.lista,0)),"OK","X"),""))</f>
        <v/>
      </c>
    </row>
    <row r="56" spans="1:222" ht="12.75" customHeight="1" x14ac:dyDescent="0.35">
      <c r="A56" s="28"/>
      <c r="B56" s="29"/>
      <c r="C56" s="29"/>
      <c r="D56" s="29"/>
      <c r="E56" s="17" t="str">
        <f t="shared" ref="E56" si="2339">IF(F55="Acrobatic - Pair","PA",IF(F55="Acrobatic Airborn","A",IF(F55="Acrobatic Balance","B",IF(F55="Acrobatic Combined","C",IF(F55="Acrobatic Platform","P",IF(F55="Technical Required Element",3,IF(LEFT(F55,4)="Hybr","H","")))))))</f>
        <v/>
      </c>
      <c r="F56" s="17" t="str">
        <f>IF(AND(F55="Hybrid - Thrust + 2 connections",CR55="X"),"Hybrid - Thrust",IF(OR(E56="A",E56="B",E56="C",E56="P"),"Acrobatic",""))</f>
        <v/>
      </c>
      <c r="G56" s="31"/>
      <c r="H56" s="182" t="str">
        <f t="shared" ref="H56" si="2340">IF(E56="PA",IF(OR(LEFT(J55,1)="L",LEFT(J55,1)="S"),"A-Pair-Lift",IF(OR(LEFT(J55,1)="W",LEFT(J55,1)="T"),"A-Pair-Throw",IF(LEFT(J55,1)="J","A-Pair-Jump","A-Pair"))),IF(OR(E56="A",E56="B",E56="C",E56="P"),CONCATENATE("Acro-",E56),""))</f>
        <v/>
      </c>
      <c r="I56" s="176" t="e">
        <f>IF(OR(F55="Hybrid - Choreography (DD = 1)",LEFT(F55,5)="Trans"),0,INDEX($BY$3:$BY$9,MATCH(E56,$BX$3:$BX$9,0)))</f>
        <v>#N/A</v>
      </c>
      <c r="J56" s="171">
        <f ca="1">IFERROR(IF($H55="No DD",IF(J55="ChoHY",1,0),IF(OR(ISBLANK(J55),J55="N/A"),0,INDEX(INDIRECT(BI56),MATCH(J55,INDIRECT(BI55),0)))),0)</f>
        <v>0</v>
      </c>
      <c r="K56" s="171">
        <f t="shared" ref="K56:Y56" ca="1" si="2341">IFERROR(IF($H55="No DD",0,IF(OR(ISBLANK(K55),K55="N/A"),0,INDEX(INDIRECT(BJ56),MATCH(K55,INDIRECT(BJ55),0)))),0)</f>
        <v>0</v>
      </c>
      <c r="L56" s="171">
        <f t="shared" ca="1" si="2341"/>
        <v>0</v>
      </c>
      <c r="M56" s="171">
        <f t="shared" ca="1" si="2341"/>
        <v>0</v>
      </c>
      <c r="N56" s="171">
        <f t="shared" ca="1" si="2341"/>
        <v>0</v>
      </c>
      <c r="O56" s="171">
        <f t="shared" ca="1" si="2341"/>
        <v>0</v>
      </c>
      <c r="P56" s="171">
        <f t="shared" ca="1" si="2341"/>
        <v>0</v>
      </c>
      <c r="Q56" s="171">
        <f t="shared" ca="1" si="2341"/>
        <v>0</v>
      </c>
      <c r="R56" s="171">
        <f t="shared" ca="1" si="2341"/>
        <v>0</v>
      </c>
      <c r="S56" s="171">
        <f t="shared" ca="1" si="2341"/>
        <v>0</v>
      </c>
      <c r="T56" s="171">
        <f t="shared" ca="1" si="2341"/>
        <v>0</v>
      </c>
      <c r="U56" s="171">
        <f t="shared" ca="1" si="2341"/>
        <v>0</v>
      </c>
      <c r="V56" s="171">
        <f t="shared" ca="1" si="2341"/>
        <v>0</v>
      </c>
      <c r="W56" s="171">
        <f t="shared" ca="1" si="2341"/>
        <v>0</v>
      </c>
      <c r="X56" s="171">
        <f t="shared" ca="1" si="2341"/>
        <v>0</v>
      </c>
      <c r="Y56" s="171">
        <f t="shared" ca="1" si="2341"/>
        <v>0</v>
      </c>
      <c r="Z56" s="171">
        <f t="shared" ref="Z56" ca="1" si="2342">IFERROR(IF($H55="No DD",0,IF(OR(ISBLANK(Z55),Z55="N/A"),0,INDEX(INDIRECT(BY56),MATCH(Z55,INDIRECT(BY55),0)))),0)</f>
        <v>0</v>
      </c>
      <c r="AA56" s="171">
        <f t="shared" ref="AA56" ca="1" si="2343">IFERROR(IF($H55="No DD",0,IF(OR(ISBLANK(AA55),AA55="N/A"),0,INDEX(INDIRECT(BZ56),MATCH(AA55,INDIRECT(BZ55),0)))),0)</f>
        <v>0</v>
      </c>
      <c r="AB56" s="171">
        <f t="shared" ref="AB56" ca="1" si="2344">IFERROR(IF($H55="No DD",0,IF(OR(ISBLANK(AB55),AB55="N/A"),0,INDEX(INDIRECT(CA56),MATCH(AB55,INDIRECT(CA55),0)))),0)</f>
        <v>0</v>
      </c>
      <c r="AC56" s="171">
        <f t="shared" ref="AC56" ca="1" si="2345">IFERROR(IF($H55="No DD",0,IF(OR(ISBLANK(AC55),AC55="N/A"),0,INDEX(INDIRECT(CB56),MATCH(AC55,INDIRECT(CB55),0)))),0)</f>
        <v>0</v>
      </c>
      <c r="AD56" s="171">
        <f t="shared" ref="AD56" ca="1" si="2346">IFERROR(IF($H55="No DD",0,IF(OR(ISBLANK(AD55),AD55="N/A"),0,INDEX(INDIRECT(CC56),MATCH(AD55,INDIRECT(CC55),0)))),0)</f>
        <v>0</v>
      </c>
      <c r="AE56" s="171">
        <f t="shared" ref="AE56" ca="1" si="2347">IFERROR(IF($H55="No DD",0,IF(OR(ISBLANK(AE55),AE55="N/A"),0,INDEX(INDIRECT(CD56),MATCH(AE55,INDIRECT(CD55),0)))),0)</f>
        <v>0</v>
      </c>
      <c r="AF56" s="171">
        <f t="shared" ref="AF56" ca="1" si="2348">IFERROR(IF($H55="No DD",0,IF(OR(ISBLANK(AF55),AF55="N/A"),0,INDEX(INDIRECT(CE56),MATCH(AF55,INDIRECT(CE55),0)))),0)</f>
        <v>0</v>
      </c>
      <c r="AG56" s="171">
        <f t="shared" ref="AG56" ca="1" si="2349">IFERROR(IF($H55="No DD",0,IF(OR(ISBLANK(AG55),AG55="N/A"),0,INDEX(INDIRECT(CF56),MATCH(AG55,INDIRECT(CF55),0)))),0)</f>
        <v>0</v>
      </c>
      <c r="AH56" s="171">
        <f t="shared" ref="AH56" ca="1" si="2350">IFERROR(IF($H55="No DD",0,IF(OR(ISBLANK(AH55),AH55="N/A"),0,INDEX(INDIRECT(CG56),MATCH(AH55,INDIRECT(CG55),0)))),0)</f>
        <v>0</v>
      </c>
      <c r="AI56" s="171">
        <f t="shared" ref="AI56" ca="1" si="2351">IFERROR(IF($H55="No DD",0,IF(OR(ISBLANK(AI55),AI55="N/A"),0,INDEX(INDIRECT(CH56),MATCH(AI55,INDIRECT(CH55),0)))),0)</f>
        <v>0</v>
      </c>
      <c r="AJ56" s="171">
        <f t="shared" ref="AJ56" ca="1" si="2352">IFERROR(IF($H55="No DD",0,IF(OR(ISBLANK(AJ55),AJ55="N/A"),0,INDEX(INDIRECT(CI56),MATCH(AJ55,INDIRECT(CI55),0)))),0)</f>
        <v>0</v>
      </c>
      <c r="AK56" s="171">
        <f t="shared" ref="AK56" ca="1" si="2353">IFERROR(IF($H55="No DD",0,IF(OR(ISBLANK(AK55),AK55="N/A"),0,INDEX(INDIRECT(CJ56),MATCH(AK55,INDIRECT(CJ55),0)))),0)</f>
        <v>0</v>
      </c>
      <c r="AL56" s="171">
        <f t="shared" ref="AL56" ca="1" si="2354">IFERROR(IF($H55="No DD",0,IF(OR(ISBLANK(AL55),AL55="N/A"),0,INDEX(INDIRECT(CK56),MATCH(AL55,INDIRECT(CK55),0)))),0)</f>
        <v>0</v>
      </c>
      <c r="AM56" s="171">
        <f t="shared" ref="AM56" ca="1" si="2355">IFERROR(IF($H55="No DD",0,IF(OR(ISBLANK(AM55),AM55="N/A"),0,INDEX(INDIRECT(CL56),MATCH(AM55,INDIRECT(CL55),0)))),0)</f>
        <v>0</v>
      </c>
      <c r="AN56" s="172" t="str">
        <f>IFERROR(IF(E56="H",INDEX(HybridBonus_Value,MATCH(AN55,HybridBonus_Code,0)),""),"")</f>
        <v/>
      </c>
      <c r="AO56" s="276" t="str">
        <f t="shared" ref="AO56" si="2356">IFERROR(SUM(I56:AN56),"")</f>
        <v/>
      </c>
      <c r="AP56" s="62"/>
      <c r="AQ56" s="62"/>
      <c r="AR56" s="101"/>
      <c r="AS56" s="101"/>
      <c r="AT56" s="101"/>
      <c r="AU56" s="101"/>
      <c r="AV56" s="101"/>
      <c r="BA56" s="90"/>
      <c r="BB56" s="101"/>
      <c r="BC56" s="101"/>
      <c r="BD56" s="101"/>
      <c r="BE56" s="101"/>
      <c r="BF56" s="101"/>
      <c r="BG56" s="90"/>
      <c r="BH56" s="101"/>
      <c r="BI56" s="91" t="str">
        <f t="shared" ref="BI56" si="2357">IF($E56="H",IF($F55="Hybrid - Thrust + 2 connections","Hybrid_Mix_Req_Value","HybridDD_Value"),IF($E56=3,"TreDD_Value",IF($E56="PA","AcroPair_Value",IF(LEFT($F55,4)="Acro",CONCATENATE(BI$16,$E56,"_Value"),""))))</f>
        <v/>
      </c>
      <c r="BJ56" s="91" t="str">
        <f t="shared" ref="BJ56" si="2358">IF($E56="H",IF($F55="Hybrid - Thrust + 2 connections","Hybrid_Mix_Req_Value","HybridDD_Value"),IF($E56=3,"TreDD_Value",IF($E56="PA","AcroPair_Value",IF(LEFT($F55,4)="Acro",CONCATENATE(BJ$16,$E56,"_Value"),""))))</f>
        <v/>
      </c>
      <c r="BK56" s="91" t="str">
        <f t="shared" ref="BK56" si="2359">IF($E56="H",IF($F55="Hybrid - Thrust + 2 connections","Hybrid_Mix_Req_Value","HybridDD_Value"),IF($E56=3,"TreDD_Value",IF($E56="PA","AcroPair_Value",IF(LEFT($F55,4)="Acro",CONCATENATE(BK$16,$E56,"_Value"),""))))</f>
        <v/>
      </c>
      <c r="BL56" s="91" t="str">
        <f t="shared" ref="BL56" si="2360">IF($E56="H",IF($F55="Hybrid - Thrust + 2 connections","Hybrid_Mix_Req_Value","HybridDD_Value"),IF($E56=3,"TreDD_Value",IF($E56="PA","AcroPair_Value",IF(LEFT($F55,4)="Acro",CONCATENATE(BL$16,$E56,"_Value"),""))))</f>
        <v/>
      </c>
      <c r="BM56" s="91" t="str">
        <f t="shared" ref="BM56" si="2361">IF($E56="H",IF($F55="Hybrid - Thrust + 2 connections","Hybrid_Mix_Req_Value","HybridDD_Value"),IF($E56=3,"TreDD_Value",IF($E56="PA","AcroPair_Value",IF(LEFT($F55,4)="Acro",CONCATENATE(BM$16,$E56,"_Value"),""))))</f>
        <v/>
      </c>
      <c r="BN56" s="91" t="str">
        <f t="shared" ref="BN56" si="2362">IF($E56="H",IF($F55="Hybrid - Thrust + 2 connections","Hybrid_Mix_Req_Value","HybridDD_Value"),IF($E56=3,"TreDD_Value",IF($E56="PA","AcroPair_Value",IF(LEFT($F55,4)="Acro",CONCATENATE(BN$16,$E56,"_Value"),""))))</f>
        <v/>
      </c>
      <c r="BO56" s="91" t="str">
        <f t="shared" ref="BO56" si="2363">IF($E56="H",IF($F55="Hybrid - Thrust + 2 connections","Hybrid_Mix_Req_Value","HybridDD_Value"),IF($E56=3,"TreDD_Value",IF($E56="PA","AcroPair_Value",IF(LEFT($F55,4)="Acro",CONCATENATE(BO$16,$E56,"_Value"),""))))</f>
        <v/>
      </c>
      <c r="BP56" s="91" t="str">
        <f t="shared" ref="BP56" si="2364">IF($E56="H",IF($F55="Hybrid - Thrust + 2 connections","Hybrid_Mix_Req_Value","HybridDD_Value"),IF($E56=3,"TreDD_Value",IF($E56="PA","AcroPair_Value",IF(LEFT($F55,4)="Acro",CONCATENATE(BP$16,$E56,"_Value"),""))))</f>
        <v/>
      </c>
      <c r="BQ56" s="91" t="str">
        <f t="shared" ref="BQ56" si="2365">IF($E56="H",IF($F55="Hybrid - Thrust + 2 connections","Hybrid_Mix_Req_Value","HybridDD_Value"),IF($E56=3,"TreDD_Value",IF($E56="PA","AcroPair_Value",IF(LEFT($F55,4)="Acro",CONCATENATE(BQ$16,$E56,"_Value"),""))))</f>
        <v/>
      </c>
      <c r="BR56" s="90" t="str">
        <f t="shared" ref="BR56" si="2366">IF($E56="H",IF($F55="Hybrid - Thrust + 2 connections","Data!$BI$1:$BI$5","HybridDD_Value"),"Data!$BI$1:$BI$5")</f>
        <v>Data!$BI$1:$BI$5</v>
      </c>
      <c r="BS56" s="90" t="str">
        <f t="shared" ref="BS56" si="2367">IF($E56="H",IF($F55="Hybrid - Thrust + 2 connections","Data!$BI$1:$BI$5","HybridDD_Value"),"Data!$BI$1:$BI$5")</f>
        <v>Data!$BI$1:$BI$5</v>
      </c>
      <c r="BT56" s="90" t="str">
        <f t="shared" ref="BT56" si="2368">IF($E56="H",IF($F55="Hybrid - Thrust + 2 connections","Data!$BI$1:$BI$5","HybridDD_Value"),"Data!$BI$1:$BI$5")</f>
        <v>Data!$BI$1:$BI$5</v>
      </c>
      <c r="BU56" s="90" t="str">
        <f t="shared" ref="BU56" si="2369">IF($E56="H",IF($F55="Hybrid - Thrust + 2 connections","Data!$BI$1:$BI$5","HybridDD_Value"),"Data!$BI$1:$BI$5")</f>
        <v>Data!$BI$1:$BI$5</v>
      </c>
      <c r="BV56" s="90" t="str">
        <f t="shared" ref="BV56" si="2370">IF($E56="H",IF($F55="Hybrid - Thrust + 2 connections","Data!$BI$1:$BI$5","HybridDD_Value"),"Data!$BI$1:$BI$5")</f>
        <v>Data!$BI$1:$BI$5</v>
      </c>
      <c r="BW56" s="90" t="str">
        <f t="shared" ref="BW56" si="2371">IF($E56="H",IF($F55="Hybrid - Thrust + 2 connections","Data!$BI$1:$BI$5","HybridDD_Value"),"Data!$BI$1:$BI$5")</f>
        <v>Data!$BI$1:$BI$5</v>
      </c>
      <c r="BX56" s="90" t="str">
        <f t="shared" ref="BX56" si="2372">IF($E56="H",IF($F55="Hybrid - Thrust + 2 connections","Data!$BI$1:$BI$5","HybridDD_Value"),"Data!$BI$1:$BI$5")</f>
        <v>Data!$BI$1:$BI$5</v>
      </c>
      <c r="BY56" s="90" t="str">
        <f t="shared" ref="BY56" si="2373">IF($E56="H",IF($F55="Hybrid - Thrust + 2 connections","Data!$BI$1:$BI$5","HybridDD_Value"),"Data!$BI$1:$BI$5")</f>
        <v>Data!$BI$1:$BI$5</v>
      </c>
      <c r="BZ56" s="90" t="str">
        <f t="shared" ref="BZ56" si="2374">IF($E56="H",IF($F55="Hybrid - Thrust + 2 connections","Data!$BI$1:$BI$5","HybridDD_Value"),"Data!$BI$1:$BI$5")</f>
        <v>Data!$BI$1:$BI$5</v>
      </c>
      <c r="CA56" s="90" t="str">
        <f t="shared" ref="CA56" si="2375">IF($E56="H",IF($F55="Hybrid - Thrust + 2 connections","Data!$BI$1:$BI$5","HybridDD_Value"),"Data!$BI$1:$BI$5")</f>
        <v>Data!$BI$1:$BI$5</v>
      </c>
      <c r="CB56" s="90" t="str">
        <f t="shared" ref="CB56" si="2376">IF($E56="H",IF($F55="Hybrid - Thrust + 2 connections","Data!$BI$1:$BI$5","HybridDD_Value"),"Data!$BI$1:$BI$5")</f>
        <v>Data!$BI$1:$BI$5</v>
      </c>
      <c r="CC56" s="90" t="str">
        <f t="shared" ref="CC56" si="2377">IF($E56="H",IF($F55="Hybrid - Thrust + 2 connections","Data!$BI$1:$BI$5","HybridDD_Value"),"Data!$BI$1:$BI$5")</f>
        <v>Data!$BI$1:$BI$5</v>
      </c>
      <c r="CD56" s="90" t="str">
        <f t="shared" ref="CD56" si="2378">IF($E56="H",IF($F55="Hybrid - Thrust + 2 connections","Data!$BI$1:$BI$5","HybridDD_Value"),"Data!$BI$1:$BI$5")</f>
        <v>Data!$BI$1:$BI$5</v>
      </c>
      <c r="CE56" s="90" t="str">
        <f t="shared" ref="CE56" si="2379">IF($E56="H",IF($F55="Hybrid - Thrust + 2 connections","Data!$BI$1:$BI$5","HybridDD_Value"),"Data!$BI$1:$BI$5")</f>
        <v>Data!$BI$1:$BI$5</v>
      </c>
      <c r="CF56" s="90" t="str">
        <f t="shared" ref="CF56" si="2380">IF($E56="H",IF($F55="Hybrid - Thrust + 2 connections","Data!$BI$1:$BI$5","HybridDD_Value"),"Data!$BI$1:$BI$5")</f>
        <v>Data!$BI$1:$BI$5</v>
      </c>
      <c r="CG56" s="90" t="str">
        <f t="shared" ref="CG56" si="2381">IF($E56="H",IF($F55="Hybrid - Thrust + 2 connections","Data!$BI$1:$BI$5","HybridDD_Value"),"Data!$BI$1:$BI$5")</f>
        <v>Data!$BI$1:$BI$5</v>
      </c>
      <c r="CH56" s="90" t="str">
        <f t="shared" ref="CH56" si="2382">IF($E56="H",IF($F55="Hybrid - Thrust + 2 connections","Data!$BI$1:$BI$5","HybridDD_Value"),"Data!$BI$1:$BI$5")</f>
        <v>Data!$BI$1:$BI$5</v>
      </c>
      <c r="CI56" s="90" t="str">
        <f t="shared" ref="CI56" si="2383">IF($E56="H",IF($F55="Hybrid - Thrust + 2 connections","Data!$BI$1:$BI$5","HybridDD_Value"),"Data!$BI$1:$BI$5")</f>
        <v>Data!$BI$1:$BI$5</v>
      </c>
      <c r="CJ56" s="90" t="str">
        <f t="shared" ref="CJ56" si="2384">IF($E56="H",IF($F55="Hybrid - Thrust + 2 connections","Data!$BI$1:$BI$5","HybridDD_Value"),"Data!$BI$1:$BI$5")</f>
        <v>Data!$BI$1:$BI$5</v>
      </c>
      <c r="CK56" s="90" t="str">
        <f t="shared" ref="CK56" si="2385">IF($E56="H",IF($F55="Hybrid - Thrust + 2 connections","Data!$BI$1:$BI$5","HybridDD_Value"),"Data!$BI$1:$BI$5")</f>
        <v>Data!$BI$1:$BI$5</v>
      </c>
      <c r="CL56" s="90" t="str">
        <f t="shared" ref="CL56" si="2386">IF($E56="H",IF($F55="Hybrid - Thrust + 2 connections","Data!$BI$1:$BI$5","HybridDD_Value"),"Data!$BI$1:$BI$5")</f>
        <v>Data!$BI$1:$BI$5</v>
      </c>
      <c r="CM56" s="101"/>
      <c r="CN56" s="101"/>
      <c r="CO56" s="102" t="str">
        <f>IFERROR(IF(AND($BV$6="T",$BV$8="T",LEFT(F55,4)="Acro",AO56&gt;3),"X",IF($N$7="X",IF(AND(E56="C",AO56&gt;$CN$6),"X",IF(AND(E56="A",AO56&gt;$CN$4),"X",IF(AND(E56="B",AO56&gt;$CN$5),"X",IF(AND(E56="P",AO56&gt;$CN$7),"X","")))),"")),"")</f>
        <v/>
      </c>
      <c r="CP56" s="93"/>
      <c r="CQ56" s="91"/>
      <c r="CS56" s="91" t="str">
        <f>IF(F56="Hybrid",SECOND(CP56),"")</f>
        <v/>
      </c>
      <c r="CT56" s="91"/>
      <c r="CU56" s="91"/>
      <c r="CV56" s="91"/>
      <c r="CW56" s="91"/>
      <c r="CX56" s="91"/>
      <c r="CY56" s="91"/>
      <c r="CZ56" s="91"/>
      <c r="DD56" s="88" t="str">
        <f t="shared" si="2030"/>
        <v/>
      </c>
      <c r="DE56" s="88" t="str">
        <f t="shared" si="2031"/>
        <v/>
      </c>
      <c r="DF56" s="88" t="str">
        <f t="shared" si="2032"/>
        <v/>
      </c>
      <c r="DG56" s="88" t="str">
        <f t="shared" si="2033"/>
        <v/>
      </c>
      <c r="DO56" s="88">
        <v>38</v>
      </c>
      <c r="ED56" s="88" t="str">
        <f t="shared" si="14"/>
        <v/>
      </c>
      <c r="EE56" s="88" t="str">
        <f t="shared" si="15"/>
        <v/>
      </c>
      <c r="EI56" s="88" t="str" cm="1">
        <f t="array" ref="EI56">IFERROR(INDEX(EK56:FN56,MATCH(TRUE,INDEX((EK56:FN56&lt;&gt;""),),0)),"")</f>
        <v/>
      </c>
      <c r="EK56" s="88" t="str">
        <f t="shared" ref="EK56" si="2387">IF(F55="Hybrid - Thrust + 2 connections",IF(COUNTIF($EK55:$FN55,EK55)&gt;1,EK55,""),IF(COUNTIF($EK55:$FN55,EK55)&gt;5,EK55,""))</f>
        <v/>
      </c>
      <c r="EL56" s="88" t="str">
        <f t="shared" ref="EL56" si="2388">IF(G55="Hybrid - Thrust + 2 connections",IF(COUNTIF($EK55:$FN55,EL55)&gt;1,EL55,""),IF(COUNTIF($EK55:$FN55,EL55)&gt;5,EL55,""))</f>
        <v/>
      </c>
      <c r="EM56" s="88" t="str">
        <f t="shared" ref="EM56" si="2389">IF(H55="Hybrid - Thrust + 2 connections",IF(COUNTIF($EK55:$FN55,EM55)&gt;1,EM55,""),IF(COUNTIF($EK55:$FN55,EM55)&gt;5,EM55,""))</f>
        <v/>
      </c>
      <c r="EN56" s="88" t="str">
        <f t="shared" ref="EN56" si="2390">IF(I55="Hybrid - Thrust + 2 connections",IF(COUNTIF($EK55:$FN55,EN55)&gt;1,EN55,""),IF(COUNTIF($EK55:$FN55,EN55)&gt;5,EN55,""))</f>
        <v/>
      </c>
      <c r="EO56" s="88" t="str">
        <f t="shared" ref="EO56" si="2391">IF(J55="Hybrid - Thrust + 2 connections",IF(COUNTIF($EK55:$FN55,EO55)&gt;1,EO55,""),IF(COUNTIF($EK55:$FN55,EO55)&gt;5,EO55,""))</f>
        <v/>
      </c>
      <c r="EP56" s="88" t="str">
        <f t="shared" ref="EP56" si="2392">IF(K55="Hybrid - Thrust + 2 connections",IF(COUNTIF($EK55:$FN55,EP55)&gt;1,EP55,""),IF(COUNTIF($EK55:$FN55,EP55)&gt;5,EP55,""))</f>
        <v/>
      </c>
      <c r="EQ56" s="88" t="str">
        <f t="shared" ref="EQ56" si="2393">IF(L55="Hybrid - Thrust + 2 connections",IF(COUNTIF($EK55:$FN55,EQ55)&gt;1,EQ55,""),IF(COUNTIF($EK55:$FN55,EQ55)&gt;5,EQ55,""))</f>
        <v/>
      </c>
      <c r="ER56" s="88" t="str">
        <f t="shared" ref="ER56" si="2394">IF(M55="Hybrid - Thrust + 2 connections",IF(COUNTIF($EK55:$FN55,ER55)&gt;1,ER55,""),IF(COUNTIF($EK55:$FN55,ER55)&gt;5,ER55,""))</f>
        <v/>
      </c>
      <c r="ES56" s="88" t="str">
        <f t="shared" ref="ES56" si="2395">IF(N55="Hybrid - Thrust + 2 connections",IF(COUNTIF($EK55:$FN55,ES55)&gt;1,ES55,""),IF(COUNTIF($EK55:$FN55,ES55)&gt;5,ES55,""))</f>
        <v/>
      </c>
      <c r="ET56" s="88" t="str">
        <f t="shared" ref="ET56" si="2396">IF(O55="Hybrid - Thrust + 2 connections",IF(COUNTIF($EK55:$FN55,ET55)&gt;1,ET55,""),IF(COUNTIF($EK55:$FN55,ET55)&gt;5,ET55,""))</f>
        <v/>
      </c>
      <c r="EU56" s="88" t="str">
        <f t="shared" ref="EU56" si="2397">IF(P55="Hybrid - Thrust + 2 connections",IF(COUNTIF($EK55:$FN55,EU55)&gt;1,EU55,""),IF(COUNTIF($EK55:$FN55,EU55)&gt;5,EU55,""))</f>
        <v/>
      </c>
      <c r="EV56" s="88" t="str">
        <f t="shared" ref="EV56" si="2398">IF(Q55="Hybrid - Thrust + 2 connections",IF(COUNTIF($EK55:$FN55,EV55)&gt;1,EV55,""),IF(COUNTIF($EK55:$FN55,EV55)&gt;5,EV55,""))</f>
        <v/>
      </c>
      <c r="EW56" s="88" t="str">
        <f t="shared" ref="EW56" si="2399">IF(R55="Hybrid - Thrust + 2 connections",IF(COUNTIF($EK55:$FN55,EW55)&gt;1,EW55,""),IF(COUNTIF($EK55:$FN55,EW55)&gt;5,EW55,""))</f>
        <v/>
      </c>
      <c r="EX56" s="88" t="str">
        <f t="shared" ref="EX56" si="2400">IF(S55="Hybrid - Thrust + 2 connections",IF(COUNTIF($EK55:$FN55,EX55)&gt;1,EX55,""),IF(COUNTIF($EK55:$FN55,EX55)&gt;5,EX55,""))</f>
        <v/>
      </c>
      <c r="EY56" s="88" t="str">
        <f t="shared" ref="EY56" si="2401">IF(T55="Hybrid - Thrust + 2 connections",IF(COUNTIF($EK55:$FN55,EY55)&gt;1,EY55,""),IF(COUNTIF($EK55:$FN55,EY55)&gt;5,EY55,""))</f>
        <v/>
      </c>
      <c r="EZ56" s="88" t="str">
        <f t="shared" ref="EZ56" si="2402">IF(U55="Hybrid - Thrust + 2 connections",IF(COUNTIF($EK55:$FN55,EZ55)&gt;1,EZ55,""),IF(COUNTIF($EK55:$FN55,EZ55)&gt;5,EZ55,""))</f>
        <v/>
      </c>
      <c r="FA56" s="88" t="str">
        <f t="shared" ref="FA56" si="2403">IF(V55="Hybrid - Thrust + 2 connections",IF(COUNTIF($EK55:$FN55,FA55)&gt;1,FA55,""),IF(COUNTIF($EK55:$FN55,FA55)&gt;5,FA55,""))</f>
        <v/>
      </c>
      <c r="FB56" s="88" t="str">
        <f t="shared" ref="FB56" si="2404">IF(W55="Hybrid - Thrust + 2 connections",IF(COUNTIF($EK55:$FN55,FB55)&gt;1,FB55,""),IF(COUNTIF($EK55:$FN55,FB55)&gt;5,FB55,""))</f>
        <v/>
      </c>
      <c r="FC56" s="88" t="str">
        <f t="shared" ref="FC56" si="2405">IF(X55="Hybrid - Thrust + 2 connections",IF(COUNTIF($EK55:$FN55,FC55)&gt;1,FC55,""),IF(COUNTIF($EK55:$FN55,FC55)&gt;5,FC55,""))</f>
        <v/>
      </c>
      <c r="FD56" s="88" t="str">
        <f t="shared" ref="FD56" si="2406">IF(Y55="Hybrid - Thrust + 2 connections",IF(COUNTIF($EK55:$FN55,FD55)&gt;1,FD55,""),IF(COUNTIF($EK55:$FN55,FD55)&gt;5,FD55,""))</f>
        <v/>
      </c>
      <c r="FE56" s="88" t="str">
        <f t="shared" ref="FE56" si="2407">IF(Z55="Hybrid - Thrust + 2 connections",IF(COUNTIF($EK55:$FN55,FE55)&gt;1,FE55,""),IF(COUNTIF($EK55:$FN55,FE55)&gt;5,FE55,""))</f>
        <v/>
      </c>
      <c r="FF56" s="88" t="str">
        <f t="shared" ref="FF56" si="2408">IF(AA55="Hybrid - Thrust + 2 connections",IF(COUNTIF($EK55:$FN55,FF55)&gt;1,FF55,""),IF(COUNTIF($EK55:$FN55,FF55)&gt;5,FF55,""))</f>
        <v/>
      </c>
      <c r="FG56" s="88" t="str">
        <f t="shared" ref="FG56" si="2409">IF(AB55="Hybrid - Thrust + 2 connections",IF(COUNTIF($EK55:$FN55,FG55)&gt;1,FG55,""),IF(COUNTIF($EK55:$FN55,FG55)&gt;5,FG55,""))</f>
        <v/>
      </c>
      <c r="FH56" s="88" t="str">
        <f t="shared" ref="FH56" si="2410">IF(AC55="Hybrid - Thrust + 2 connections",IF(COUNTIF($EK55:$FN55,FH55)&gt;1,FH55,""),IF(COUNTIF($EK55:$FN55,FH55)&gt;5,FH55,""))</f>
        <v/>
      </c>
      <c r="FI56" s="88" t="str">
        <f t="shared" ref="FI56" si="2411">IF(AD55="Hybrid - Thrust + 2 connections",IF(COUNTIF($EK55:$FN55,FI55)&gt;1,FI55,""),IF(COUNTIF($EK55:$FN55,FI55)&gt;5,FI55,""))</f>
        <v/>
      </c>
      <c r="FJ56" s="88" t="str">
        <f t="shared" ref="FJ56" si="2412">IF(AE55="Hybrid - Thrust + 2 connections",IF(COUNTIF($EK55:$FN55,FJ55)&gt;1,FJ55,""),IF(COUNTIF($EK55:$FN55,FJ55)&gt;5,FJ55,""))</f>
        <v/>
      </c>
      <c r="FK56" s="88" t="str">
        <f t="shared" ref="FK56" si="2413">IF(AF55="Hybrid - Thrust + 2 connections",IF(COUNTIF($EK55:$FN55,FK55)&gt;1,FK55,""),IF(COUNTIF($EK55:$FN55,FK55)&gt;5,FK55,""))</f>
        <v/>
      </c>
      <c r="FL56" s="88" t="str">
        <f t="shared" ref="FL56" si="2414">IF(AG55="Hybrid - Thrust + 2 connections",IF(COUNTIF($EK55:$FN55,FL55)&gt;1,FL55,""),IF(COUNTIF($EK55:$FN55,FL55)&gt;5,FL55,""))</f>
        <v/>
      </c>
      <c r="FM56" s="88" t="str">
        <f t="shared" ref="FM56" si="2415">IF(AH55="Hybrid - Thrust + 2 connections",IF(COUNTIF($EK55:$FN55,FM55)&gt;1,FM55,""),IF(COUNTIF($EK55:$FN55,FM55)&gt;5,FM55,""))</f>
        <v/>
      </c>
      <c r="FN56" s="88" t="str">
        <f t="shared" ref="FN56" si="2416">IF(AI55="Hybrid - Thrust + 2 connections",IF(COUNTIF($EK55:$FN55,FN55)&gt;1,FN55,""),IF(COUNTIF($EK55:$FN55,FN55)&gt;5,FN55,""))</f>
        <v/>
      </c>
      <c r="FO56" s="88">
        <f t="shared" ref="FO56" si="2417">FO54+5</f>
        <v>90</v>
      </c>
      <c r="FP56" s="88" t="str" cm="1">
        <f t="array" ref="FP56">IF(FQ56&lt;&gt;"",LEFT(FQ56,FIND("*",FQ56)-1),INDEX($FP$75:$FP$172,FO56+1))</f>
        <v/>
      </c>
      <c r="FQ56" s="88" t="str" cm="1">
        <f t="array" ref="FQ56">INDEX($FQ$75:$FQ$172,FO56+1)</f>
        <v/>
      </c>
      <c r="FR56" s="285"/>
      <c r="FS56" s="285"/>
      <c r="FT56" s="285"/>
      <c r="FU56" s="285"/>
      <c r="FV56" s="285"/>
      <c r="FW56" s="285"/>
      <c r="FX56" s="285"/>
      <c r="FY56" s="285"/>
      <c r="FZ56" s="285"/>
      <c r="GA56" s="285"/>
      <c r="GB56" s="285"/>
      <c r="GC56" s="285"/>
      <c r="GD56" s="285"/>
      <c r="GE56" s="285"/>
      <c r="GF56" s="285"/>
      <c r="GG56" s="285"/>
      <c r="GH56" s="285"/>
      <c r="GI56" s="285"/>
      <c r="GJ56" s="285"/>
      <c r="GK56" s="285"/>
      <c r="GL56" s="285"/>
      <c r="GM56" s="285"/>
      <c r="GN56" s="285"/>
      <c r="GO56" s="285"/>
      <c r="GP56" s="285"/>
      <c r="GQ56" s="285"/>
      <c r="GR56" s="285"/>
      <c r="GS56" s="285"/>
      <c r="GT56" s="285"/>
      <c r="GU56" s="285"/>
      <c r="GV56" s="88"/>
      <c r="GW56" s="88"/>
      <c r="GX56" s="88"/>
      <c r="GY56" s="88"/>
      <c r="GZ56" s="88"/>
      <c r="HA56" s="88"/>
      <c r="HB56" s="88"/>
      <c r="HC56" s="88"/>
      <c r="HD56" s="88" t="str">
        <f>IF($F55="Hybrid - Thrust + 2 connections",COUNTBLANK(J55:L55),"")</f>
        <v/>
      </c>
      <c r="HE56" s="88"/>
      <c r="HF56" s="91"/>
      <c r="HG56" s="91"/>
      <c r="HH56" s="91"/>
      <c r="HI56" s="91"/>
    </row>
    <row r="57" spans="1:222" ht="12.75" customHeight="1" x14ac:dyDescent="0.35">
      <c r="A57" s="28" t="str">
        <f>IF(AND(E55="",A55&lt;&gt;""),IF(CP55=$CP$18,"",IF(C55&lt;&gt;"",IF(D55=59,MINUTE(CP55)+1,MINUTE(CP55)),"")),"")</f>
        <v/>
      </c>
      <c r="B57" s="29" t="str">
        <f>IF(AND(E55="",B55&lt;&gt;""),IF(CP55=$CP$18,"",IF(C55&lt;&gt;"",IF(D55=59,0,SECOND(CP55)+1),"")),"")</f>
        <v/>
      </c>
      <c r="C57" s="39"/>
      <c r="D57" s="39"/>
      <c r="E57" s="9"/>
      <c r="F57" s="40"/>
      <c r="G57" s="31" t="str">
        <f>IF(F57&lt;&gt;"",IF(OR(F57="Transition",F57="Transition - Surface Connection"),0,MAX($G$19:G56)+1),"")</f>
        <v/>
      </c>
      <c r="H57" s="43" t="str">
        <f>IFERROR(IF(E58="3","",IF(OR(F57="Hybrid - Choreography (DD = 1)",LEFT(F57,5)="Trans"),"No DD",CONCATENATE("BM = ",I58))),"")</f>
        <v/>
      </c>
      <c r="I57" s="44"/>
      <c r="J57" s="109"/>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58"/>
      <c r="AO57" s="32"/>
      <c r="AP57" s="61"/>
      <c r="AQ57" s="61"/>
      <c r="AR57" s="90"/>
      <c r="AS57" s="90"/>
      <c r="AT57" s="90"/>
      <c r="AU57" s="90"/>
      <c r="AV57" s="90"/>
      <c r="AW57" s="91" t="str">
        <f t="shared" ref="AW57" si="2418">E58</f>
        <v/>
      </c>
      <c r="AX57" s="94" t="str">
        <f t="shared" ref="AX57" si="2419">IF(AY57=0,"",TIME(0,A57,B57))</f>
        <v/>
      </c>
      <c r="AY57" s="94">
        <f t="shared" ref="AY57" si="2420">TIME(0,C57,D57)</f>
        <v>0</v>
      </c>
      <c r="AZ57" s="94" t="str">
        <f t="shared" ref="AZ57" si="2421">IFERROR(AY57-AX57,"")</f>
        <v/>
      </c>
      <c r="BA57" s="237" t="str">
        <f t="shared" ref="BA57" si="2422">IF($AX$17=0,"",IF(AND($C$10&lt;&gt;"",AW57="H",AZ57&gt;$AX$17),"X",""))</f>
        <v/>
      </c>
      <c r="BB57" s="90"/>
      <c r="BC57" s="90"/>
      <c r="BD57" s="90"/>
      <c r="BE57" s="90"/>
      <c r="BF57" s="90"/>
      <c r="BG57" s="90" t="str">
        <f>IFERROR(IF(F57&lt;&gt;"",INDEX(Parts_Active,MATCH(F57,Parts_Active,0)),""),"No")</f>
        <v/>
      </c>
      <c r="BH57" s="90"/>
      <c r="BI57" s="90" t="str">
        <f>IF($E58="H",IF($F57="Hybrid - Thrust + 2 connections","Hybrid_Mix_Req",IF($F57="Hybrid - Choreography (DD = 1)","Hybrid_ChoHY","HybridDD_Code")),IF($E58=3,"TreDD_Code",IF($E58="PA","AcroPair_Code",IF(LEFT($F57,4)="Acro",CONCATENATE(BI$16,$E58,"_Code"),"Data!$BI$1:$BI$5"))))</f>
        <v>Data!$BI$1:$BI$5</v>
      </c>
      <c r="BJ57" s="90" t="str">
        <f t="shared" ref="BJ57" si="2423">IF($E58="H",IF($F57="Hybrid - Thrust + 2 connections","Hybrid_Mix_Req",IF($F57="Hybrid - min 4 swimmers (no DD)","Data!$BI$1:$BI$5","HybridDD_Code")),IF($E58=3,"TreDD_Code",IF($E58="PA","AcroPair_Code",IF(LEFT($F57,4)="Acro",CONCATENATE(BJ$16,$E58,"_Code"),"Data!$BI$1:$BI$5"))))</f>
        <v>Data!$BI$1:$BI$5</v>
      </c>
      <c r="BK57" s="90" t="str">
        <f t="shared" si="978"/>
        <v>Data!$BI$1:$BI$5</v>
      </c>
      <c r="BL57" s="90" t="str">
        <f t="shared" si="978"/>
        <v>Data!$BI$1:$BI$5</v>
      </c>
      <c r="BM57" s="90" t="str">
        <f t="shared" si="978"/>
        <v>Data!$BI$1:$BI$5</v>
      </c>
      <c r="BN57" s="90" t="str">
        <f t="shared" si="978"/>
        <v>Data!$BI$1:$BI$5</v>
      </c>
      <c r="BO57" s="90" t="str">
        <f t="shared" si="978"/>
        <v>Data!$BI$1:$BI$5</v>
      </c>
      <c r="BP57" s="90" t="str">
        <f t="shared" si="978"/>
        <v>Data!$BI$1:$BI$5</v>
      </c>
      <c r="BQ57" s="90" t="str">
        <f t="shared" si="978"/>
        <v>Data!$BI$1:$BI$5</v>
      </c>
      <c r="BR57" s="90" t="str">
        <f t="shared" ref="BR57" si="2424">IF($E58="H",IF($F57="Hybrid - Thrust + 2 connections","Data!$BI$1:$BI$5","HybridDD_Code"),"Data!$BI$1:$BI$5")</f>
        <v>Data!$BI$1:$BI$5</v>
      </c>
      <c r="BS57" s="90" t="str">
        <f t="shared" si="445"/>
        <v>Data!$BI$1:$BI$5</v>
      </c>
      <c r="BT57" s="90" t="str">
        <f t="shared" si="445"/>
        <v>Data!$BI$1:$BI$5</v>
      </c>
      <c r="BU57" s="90" t="str">
        <f t="shared" si="445"/>
        <v>Data!$BI$1:$BI$5</v>
      </c>
      <c r="BV57" s="90" t="str">
        <f t="shared" si="445"/>
        <v>Data!$BI$1:$BI$5</v>
      </c>
      <c r="BW57" s="90" t="str">
        <f t="shared" si="445"/>
        <v>Data!$BI$1:$BI$5</v>
      </c>
      <c r="BX57" s="90" t="str">
        <f t="shared" si="445"/>
        <v>Data!$BI$1:$BI$5</v>
      </c>
      <c r="BY57" s="90" t="str">
        <f t="shared" si="445"/>
        <v>Data!$BI$1:$BI$5</v>
      </c>
      <c r="BZ57" s="90" t="str">
        <f t="shared" si="445"/>
        <v>Data!$BI$1:$BI$5</v>
      </c>
      <c r="CA57" s="90" t="str">
        <f t="shared" si="445"/>
        <v>Data!$BI$1:$BI$5</v>
      </c>
      <c r="CB57" s="90" t="str">
        <f t="shared" si="445"/>
        <v>Data!$BI$1:$BI$5</v>
      </c>
      <c r="CC57" s="90" t="str">
        <f t="shared" si="445"/>
        <v>Data!$BI$1:$BI$5</v>
      </c>
      <c r="CD57" s="90" t="str">
        <f t="shared" si="445"/>
        <v>Data!$BI$1:$BI$5</v>
      </c>
      <c r="CE57" s="90" t="str">
        <f t="shared" si="445"/>
        <v>Data!$BI$1:$BI$5</v>
      </c>
      <c r="CF57" s="90" t="str">
        <f t="shared" si="445"/>
        <v>Data!$BI$1:$BI$5</v>
      </c>
      <c r="CG57" s="90" t="str">
        <f t="shared" si="445"/>
        <v>Data!$BI$1:$BI$5</v>
      </c>
      <c r="CH57" s="90" t="str">
        <f t="shared" si="445"/>
        <v>Data!$BI$1:$BI$5</v>
      </c>
      <c r="CI57" s="90" t="str">
        <f t="shared" si="980"/>
        <v>Data!$BI$1:$BI$5</v>
      </c>
      <c r="CJ57" s="90" t="str">
        <f t="shared" si="980"/>
        <v>Data!$BI$1:$BI$5</v>
      </c>
      <c r="CK57" s="90" t="str">
        <f t="shared" si="980"/>
        <v>Data!$BI$1:$BI$5</v>
      </c>
      <c r="CL57" s="90" t="str">
        <f t="shared" si="980"/>
        <v>Data!$BI$1:$BI$5</v>
      </c>
      <c r="CM57" s="90"/>
      <c r="CN57" s="90"/>
      <c r="CO57" s="93" t="str">
        <f>IFERROR(TIME(0,A57,B57),"")</f>
        <v/>
      </c>
      <c r="CP57" s="94">
        <f>IFERROR(TIME(0,C57,D57),"")</f>
        <v>0</v>
      </c>
      <c r="CQ57" s="94" t="str">
        <f t="shared" ref="CQ57" si="2425">IF(CP57&gt;$D$12,"X","")</f>
        <v/>
      </c>
      <c r="CR57" s="88" t="str">
        <f>IF(AND(F57="Hybrid - Thrust + 2 connections",OR(LEFT(J57,1)="T",LEFT(K57,1)="T",LEFT(L57,1)="T",LEFT(PB57,1)="T",LEFT(M57,1)="T",LEFT(N57,1)="T",LEFT(O57,1)="T",LEFT(P57,1)="T",LEFT(Q57,1)="T",LEFT(R57,1)="T",LEFT(S57,1)="T",LEFT(T57,1)="T",LEFT(U57,1)="T",LEFT(V57,1)="T",LEFT(W57,1)="T",LEFT(X57,1)="T",LEFT(AK57,1)="T",LEFT(AL57,1)="T",LEFT(AM57,1)="T")),IF(OR(LEN(J57)=2,LEN(K57)=2,LEN(L57)=2,LEN(M57)=2,LEN(N57)=2,LEN(O57)=2,LEN(P57)=2,LEN(Q57)=2,LEN(R57)=2,LEN(S57)=2,LEN(T57)=2,LEN(U57)=2,LEN(V57)=2,LEN(W57)=2,LEN(X57)=2,LEN(Y57)=2,LEN(Z57)=2,LEN(AK57)=2,LEN(AL57)=2,LEN(AM57)=2),"X",""),"")</f>
        <v/>
      </c>
      <c r="CS57" s="91" t="str">
        <f>IF(F57="Hybrid",SECOND(CP57),"")</f>
        <v/>
      </c>
      <c r="CT57" s="88" t="str">
        <f>IF(LEFT(F57,4)="Acro",IF(AND(N57&lt;&gt;"",M57=RIGHT(N57,2)),"X","OK"),"")</f>
        <v/>
      </c>
      <c r="CU57" s="90" t="str">
        <f t="shared" ref="CU57:DB57" si="2426">IFERROR(IF(AND(LEFT($F57,4)="Acro",INDEX(Requ_App,MATCH(BI57,Requ_Code,0))="No"),"X",""),"")</f>
        <v/>
      </c>
      <c r="CV57" s="90" t="str">
        <f t="shared" si="2426"/>
        <v/>
      </c>
      <c r="CW57" s="90" t="str">
        <f t="shared" si="2426"/>
        <v/>
      </c>
      <c r="CX57" s="90" t="str">
        <f t="shared" si="2426"/>
        <v/>
      </c>
      <c r="CY57" s="90" t="str">
        <f t="shared" si="2426"/>
        <v/>
      </c>
      <c r="CZ57" s="90" t="str">
        <f t="shared" si="2426"/>
        <v/>
      </c>
      <c r="DA57" s="90" t="str">
        <f t="shared" si="2426"/>
        <v/>
      </c>
      <c r="DB57" s="90" t="str">
        <f t="shared" si="2426"/>
        <v/>
      </c>
      <c r="DC57" s="90" t="str">
        <f>IFERROR(IF(AND(LEFT($F57,4)="Acro",INDEX(Requ_App,MATCH(BP57,Requ_Code,0))="No"),"X",""),"")</f>
        <v/>
      </c>
      <c r="DD57" s="88" t="str">
        <f t="shared" si="2030"/>
        <v/>
      </c>
      <c r="DE57" s="88" t="str">
        <f t="shared" si="2031"/>
        <v/>
      </c>
      <c r="DF57" s="88" t="str">
        <f t="shared" si="2032"/>
        <v/>
      </c>
      <c r="DG57" s="88" t="str">
        <f t="shared" si="2033"/>
        <v/>
      </c>
      <c r="DK57" s="88">
        <f t="shared" ref="DK57" si="2427">IF(AND(E58="A",OR(Q57="Grip",Q57="Conn",Q57="Catch")),"A1",IF(AND(E58="A",OR(Q57="Hula",Q57="RetSq",Q57="RetPa")),"A2",IF(AND(E58="B",OR(Q57="Twirl",Q57="RotF")),"B1",IF(AND(E58="B",OR(Q57="Moon",Q57="Mov",Q57="Hold")),"B2",IF(AND(E58="P",OR(Q57="Porp",Q57="Splch")),"P1",IF(AND(E58="P",OR(Q57="Diva",Q57="Stand")),"P2",IF(AND(E58="P",OR(Q57="Spider",Q57="Climb")),"P3",IF(AND(E58="P",OR(Q57="Fall",Q57="FTurn")),"P4",IF(AND(E58="C",OR(Q57="Jump",Q57="Jump&gt;",Q57="On1Foot",Q57="1F&gt;1F")),"C1",IF(AND(E58="C",OR(Q57="Run",Q57="BRun")),"C2",1))))))))))</f>
        <v>1</v>
      </c>
      <c r="DL57" s="88">
        <f t="shared" ref="DL57" si="2428">IF(AND(E58="A",OR(R57="Grip",R57="Conn",R57="Catch")),"A1",IF(AND(E58="A",OR(R57="Hula",R57="RetSq",R57="RetPa")),"A2",IF(AND(E58="B",OR(R57="Twirl",R57="RotF")),"B1",IF(AND(E58="B",OR(R57="Moon",R57="Mov",R57="Hold")),"B2",IF(AND(E58="P",OR(R57="Porp",R57="Spich")),"P1",IF(AND(E58="P",OR(R57="Diva",R57="Stand")),"P2",IF(AND(E58="P",OR(R57="Spider",R57="Climb")),"P3",IF(AND(E58="P",OR(R57="Fall",R57="FTurn")),"P4",IF(AND(E58="C",OR(R57="Jump",R57="Jump&gt;",R57="On1Foot",R57="1F&gt;1F")),"C1",IF(AND(E58="C",OR(R57="Run",R57="BRun")),"C2",2))))))))))</f>
        <v>2</v>
      </c>
      <c r="DM57" s="88" t="str">
        <f t="shared" ref="DM57" si="2429">IF(AND(N57="",OR(Q57&lt;&gt;"",R57&lt;&gt;"")),"X",IF(AND(LEFT(F57,4)="Acro",Q57&lt;&gt;"",OR(Q57=R57,DK57=DL57)),IF(R57="C-Roll","","X"),IF(OR(AND(E58="A",Q57="Catch",R57&lt;&gt;"Dbl"),AND(E58="A",R57="Catch",Q57&lt;&gt;"Dbl")),"X","")))</f>
        <v/>
      </c>
      <c r="DN57" s="88" t="str">
        <f>IF(E58="PA",J57,"")</f>
        <v/>
      </c>
      <c r="DO57" s="88">
        <v>39</v>
      </c>
      <c r="DQ57" s="88" t="str">
        <f>IF(AND($E58="A",COUNTIF($DZ$19:$EA$68,DZ57)&gt;1),DZ57,"")</f>
        <v/>
      </c>
      <c r="DR57" s="88" t="str">
        <f>IF(AND($E58="A",COUNTIF($DZ$19:$EA$68,EA57)&gt;1),EA57,"")</f>
        <v/>
      </c>
      <c r="DS57" s="88" t="str">
        <f ca="1">IF(AND($E58="B",COUNTIF($J$19:$J$68,J57)&gt;1),J57,"")</f>
        <v/>
      </c>
      <c r="DT57" s="88" t="str">
        <f ca="1">IF(AND($E58="B",COUNTIF($K$19:$K$68,K57)&gt;1),K57,"")</f>
        <v/>
      </c>
      <c r="DU57" s="88" t="str">
        <f ca="1">IF(AND($E58="C",COUNTIF($J$19:$J$68,J57)&gt;1),J57,"")</f>
        <v/>
      </c>
      <c r="DV57" s="88" t="str">
        <f ca="1">IF(AND($E58="P",COUNTIF($J$19:$J$68,J57)&gt;1),J57,"")</f>
        <v/>
      </c>
      <c r="DW57" s="88" t="str">
        <f ca="1">IF(AND($E58="P",COUNTIF($K$19:$K$68,K57)&gt;1),K57,"")</f>
        <v/>
      </c>
      <c r="DX57" s="88" t="str">
        <f>IF(AND($E58="P",COUNTIF($DZ$19:$EA$68,DZ57)&gt;1),DZ57,"")</f>
        <v/>
      </c>
      <c r="DY57" s="88" t="str">
        <f>IF(AND($E58="P",COUNTIF($DZ$19:$EA$68,EA57)&gt;1),EA57,"")</f>
        <v/>
      </c>
      <c r="DZ57" s="88" t="str">
        <f>IFERROR(IF(OR(E58="A",E58="P"),M57,""),"")</f>
        <v/>
      </c>
      <c r="EA57" s="88" t="str">
        <f>IFERROR(IF(OR(E58="A",E58="P"),RIGHT(N57,2),""),"")</f>
        <v/>
      </c>
      <c r="EB57" s="88" t="str">
        <f t="shared" ref="EB57:EC57" si="2430">IF(Q57="","",IF(AND($E58="P",COUNTIF($Q$19:$R$68,Q57)&gt;1),Q57,""))</f>
        <v/>
      </c>
      <c r="EC57" s="88" t="str">
        <f t="shared" si="2430"/>
        <v/>
      </c>
      <c r="ED57" s="88" t="str">
        <f t="shared" si="14"/>
        <v/>
      </c>
      <c r="EE57" s="88" t="str">
        <f t="shared" si="15"/>
        <v/>
      </c>
      <c r="EF57" s="88" t="str">
        <f t="shared" ref="EF57" si="2431">IF(AND(OR($F$8="Open Team Acrobatic",$F$8="Open Team Technical"),LEFT(F57,4)="Acro"),E58,"")</f>
        <v/>
      </c>
      <c r="EG57" s="88" t="str">
        <f t="shared" ref="EG57" si="2432">IF(EF57="","",IFERROR(IF($F$8="Open Team Acrobatic",IF(HLOOKUP(EF57,$DQ$12:$DT$13,2,FALSE)&gt;2,"X",""),IF(HLOOKUP(EF57,$DQ$12:$DT$13,2,FALSE)&gt;1,"X","")),""))</f>
        <v/>
      </c>
      <c r="EI57" s="88" t="str">
        <f t="shared" ref="EI57" si="2433">IF(OR(AND(F57="Hybrid - Thrust + 2 connections",EI58="T"),AND(E58="H",EI58&lt;&gt;"",EI111="X")),"X","")</f>
        <v/>
      </c>
      <c r="EK57" s="88">
        <f t="shared" ref="EK57" si="2434">IFERROR(IF(AND($E58="H",J57&lt;&gt;"",J57&lt;&gt;"ChoHY"),IF(OR(LEFT(J57,1)="T",LEFT(J57,1)="S",LEFT(J57,1)="A",LEFT(J57,1)="F",LEFT(J57,1)="C"),LEFT(J57,1),"R"),EK$18),"")</f>
        <v>1</v>
      </c>
      <c r="EL57" s="88">
        <f t="shared" ref="EL57" si="2435">IFERROR(IF(AND($E58="H",K57&lt;&gt;""),IF(OR(LEFT(K57,1)="T",LEFT(K57,1)="S",LEFT(K57,1)="A",LEFT(K57,1)="F",LEFT(K57,1)="C"),LEFT(K57,1),"R"),EL$18),"")</f>
        <v>2</v>
      </c>
      <c r="EM57" s="88">
        <f t="shared" ref="EM57" si="2436">IFERROR(IF(AND($E58="H",L57&lt;&gt;""),IF(OR(LEFT(L57,1)="T",LEFT(L57,1)="S",LEFT(L57,1)="A",LEFT(L57,1)="F",LEFT(L57,1)="C"),LEFT(L57,1),"R"),EM$18),"")</f>
        <v>3</v>
      </c>
      <c r="EN57" s="88">
        <f t="shared" ref="EN57" si="2437">IFERROR(IF(AND($E58="H",M57&lt;&gt;""),IF(OR(LEFT(M57,1)="T",LEFT(M57,1)="S",LEFT(M57,1)="A",LEFT(M57,1)="F",LEFT(M57,1)="C"),LEFT(M57,1),"R"),EN$18),"")</f>
        <v>4</v>
      </c>
      <c r="EO57" s="88">
        <f t="shared" ref="EO57" si="2438">IFERROR(IF(AND($E58="H",N57&lt;&gt;""),IF(OR(LEFT(N57,1)="T",LEFT(N57,1)="S",LEFT(N57,1)="A",LEFT(N57,1)="F",LEFT(N57,1)="C"),LEFT(N57,1),"R"),EO$18),"")</f>
        <v>5</v>
      </c>
      <c r="EP57" s="88">
        <f t="shared" ref="EP57" si="2439">IFERROR(IF(AND($E58="H",O57&lt;&gt;""),IF(OR(LEFT(O57,1)="T",LEFT(O57,1)="S",LEFT(O57,1)="A",LEFT(O57,1)="F",LEFT(O57,1)="C"),LEFT(O57,1),"R"),EP$18),"")</f>
        <v>6</v>
      </c>
      <c r="EQ57" s="88">
        <f t="shared" ref="EQ57" si="2440">IFERROR(IF(AND($E58="H",P57&lt;&gt;""),IF(OR(LEFT(P57,1)="T",LEFT(P57,1)="S",LEFT(P57,1)="A",LEFT(P57,1)="F",LEFT(P57,1)="C"),LEFT(P57,1),"R"),EQ$18),"")</f>
        <v>7</v>
      </c>
      <c r="ER57" s="88">
        <f t="shared" ref="ER57" si="2441">IFERROR(IF(AND($E58="H",Q57&lt;&gt;""),IF(OR(LEFT(Q57,1)="T",LEFT(Q57,1)="S",LEFT(Q57,1)="A",LEFT(Q57,1)="F",LEFT(Q57,1)="C"),LEFT(Q57,1),"R"),ER$18),"")</f>
        <v>8</v>
      </c>
      <c r="ES57" s="88">
        <f t="shared" ref="ES57" si="2442">IFERROR(IF(AND($E58="H",R57&lt;&gt;""),IF(OR(LEFT(R57,1)="T",LEFT(R57,1)="S",LEFT(R57,1)="A",LEFT(R57,1)="F",LEFT(R57,1)="C"),LEFT(R57,1),"R"),ES$18),"")</f>
        <v>9</v>
      </c>
      <c r="ET57" s="88">
        <f t="shared" ref="ET57" si="2443">IFERROR(IF(AND($E58="H",S57&lt;&gt;""),IF(OR(LEFT(S57,1)="T",LEFT(S57,1)="S",LEFT(S57,1)="A",LEFT(S57,1)="F",LEFT(S57,1)="C"),LEFT(S57,1),"R"),ET$18),"")</f>
        <v>10</v>
      </c>
      <c r="EU57" s="88">
        <f t="shared" ref="EU57" si="2444">IFERROR(IF(AND($E58="H",T57&lt;&gt;""),IF(OR(LEFT(T57,1)="T",LEFT(T57,1)="S",LEFT(T57,1)="A",LEFT(T57,1)="F",LEFT(T57,1)="C"),LEFT(T57,1),"R"),EU$18),"")</f>
        <v>11</v>
      </c>
      <c r="EV57" s="88">
        <f t="shared" ref="EV57" si="2445">IFERROR(IF(AND($E58="H",U57&lt;&gt;""),IF(OR(LEFT(U57,1)="T",LEFT(U57,1)="S",LEFT(U57,1)="A",LEFT(U57,1)="F",LEFT(U57,1)="C"),LEFT(U57,1),"R"),EV$18),"")</f>
        <v>12</v>
      </c>
      <c r="EW57" s="88">
        <f t="shared" ref="EW57" si="2446">IFERROR(IF(AND($E58="H",V57&lt;&gt;""),IF(OR(LEFT(V57,1)="T",LEFT(V57,1)="S",LEFT(V57,1)="A",LEFT(V57,1)="F",LEFT(V57,1)="C"),LEFT(V57,1),"R"),EW$18),"")</f>
        <v>13</v>
      </c>
      <c r="EX57" s="88">
        <f t="shared" ref="EX57" si="2447">IFERROR(IF(AND($E58="H",W57&lt;&gt;""),IF(OR(LEFT(W57,1)="T",LEFT(W57,1)="S",LEFT(W57,1)="A",LEFT(W57,1)="F",LEFT(W57,1)="C"),LEFT(W57,1),"R"),EX$18),"")</f>
        <v>14</v>
      </c>
      <c r="EY57" s="88">
        <f t="shared" ref="EY57" si="2448">IFERROR(IF(AND($E58="H",X57&lt;&gt;""),IF(OR(LEFT(X57,1)="T",LEFT(X57,1)="S",LEFT(X57,1)="A",LEFT(X57,1)="F",LEFT(X57,1)="C"),LEFT(X57,1),"R"),EY$18),"")</f>
        <v>15</v>
      </c>
      <c r="EZ57" s="88">
        <f t="shared" ref="EZ57" si="2449">IFERROR(IF(AND($E58="H",Y57&lt;&gt;""),IF(OR(LEFT(Y57,1)="T",LEFT(Y57,1)="S",LEFT(Y57,1)="A",LEFT(Y57,1)="F",LEFT(Y57,1)="C"),LEFT(Y57,1),"R"),EZ$18),"")</f>
        <v>16</v>
      </c>
      <c r="FA57" s="88">
        <f t="shared" ref="FA57" si="2450">IFERROR(IF(AND($E58="H",Z57&lt;&gt;""),IF(OR(LEFT(Z57,1)="T",LEFT(Z57,1)="S",LEFT(Z57,1)="A",LEFT(Z57,1)="F",LEFT(Z57,1)="C"),LEFT(Z57,1),"R"),FA$18),"")</f>
        <v>17</v>
      </c>
      <c r="FB57" s="88">
        <f t="shared" ref="FB57" si="2451">IFERROR(IF(AND($E58="H",AA57&lt;&gt;""),IF(OR(LEFT(AA57,1)="T",LEFT(AA57,1)="S",LEFT(AA57,1)="A",LEFT(AA57,1)="F",LEFT(AA57,1)="C"),LEFT(AA57,1),"R"),FB$18),"")</f>
        <v>18</v>
      </c>
      <c r="FC57" s="88">
        <f t="shared" ref="FC57" si="2452">IFERROR(IF(AND($E58="H",AB57&lt;&gt;""),IF(OR(LEFT(AB57,1)="T",LEFT(AB57,1)="S",LEFT(AB57,1)="A",LEFT(AB57,1)="F",LEFT(AB57,1)="C"),LEFT(AB57,1),"R"),FC$18),"")</f>
        <v>19</v>
      </c>
      <c r="FD57" s="88">
        <f t="shared" ref="FD57" si="2453">IFERROR(IF(AND($E58="H",AC57&lt;&gt;""),IF(OR(LEFT(AC57,1)="T",LEFT(AC57,1)="S",LEFT(AC57,1)="A",LEFT(AC57,1)="F",LEFT(AC57,1)="C"),LEFT(AC57,1),"R"),FD$18),"")</f>
        <v>20</v>
      </c>
      <c r="FE57" s="88">
        <f t="shared" ref="FE57" si="2454">IFERROR(IF(AND($E58="H",AD57&lt;&gt;""),IF(OR(LEFT(AD57,1)="T",LEFT(AD57,1)="S",LEFT(AD57,1)="A",LEFT(AD57,1)="F",LEFT(AD57,1)="C"),LEFT(AD57,1),"R"),FE$18),"")</f>
        <v>21</v>
      </c>
      <c r="FF57" s="88">
        <f t="shared" ref="FF57" si="2455">IFERROR(IF(AND($E58="H",AE57&lt;&gt;""),IF(OR(LEFT(AE57,1)="T",LEFT(AE57,1)="S",LEFT(AE57,1)="A",LEFT(AE57,1)="F",LEFT(AE57,1)="C"),LEFT(AE57,1),"R"),FF$18),"")</f>
        <v>22</v>
      </c>
      <c r="FG57" s="88">
        <f t="shared" ref="FG57" si="2456">IFERROR(IF(AND($E58="H",AF57&lt;&gt;""),IF(OR(LEFT(AF57,1)="T",LEFT(AF57,1)="S",LEFT(AF57,1)="A",LEFT(AF57,1)="F",LEFT(AF57,1)="C"),LEFT(AF57,1),"R"),FG$18),"")</f>
        <v>23</v>
      </c>
      <c r="FH57" s="88">
        <f t="shared" ref="FH57" si="2457">IFERROR(IF(AND($E58="H",AG57&lt;&gt;""),IF(OR(LEFT(AG57,1)="T",LEFT(AG57,1)="S",LEFT(AG57,1)="A",LEFT(AG57,1)="F",LEFT(AG57,1)="C"),LEFT(AG57,1),"R"),FH$18),"")</f>
        <v>24</v>
      </c>
      <c r="FI57" s="88">
        <f t="shared" ref="FI57" si="2458">IFERROR(IF(AND($E58="H",AH57&lt;&gt;""),IF(OR(LEFT(AH57,1)="T",LEFT(AH57,1)="S",LEFT(AH57,1)="A",LEFT(AH57,1)="F",LEFT(AH57,1)="C"),LEFT(AH57,1),"R"),FI$18),"")</f>
        <v>25</v>
      </c>
      <c r="FJ57" s="88">
        <f t="shared" ref="FJ57" si="2459">IFERROR(IF(AND($E58="H",AI57&lt;&gt;""),IF(OR(LEFT(AI57,1)="T",LEFT(AI57,1)="S",LEFT(AI57,1)="A",LEFT(AI57,1)="F",LEFT(AI57,1)="C"),LEFT(AI57,1),"R"),FJ$18),"")</f>
        <v>26</v>
      </c>
      <c r="FK57" s="88">
        <f t="shared" ref="FK57" si="2460">IFERROR(IF(AND($E58="H",AJ57&lt;&gt;""),IF(OR(LEFT(AJ57,1)="T",LEFT(AJ57,1)="S",LEFT(AJ57,1)="A",LEFT(AJ57,1)="F",LEFT(AJ57,1)="C"),LEFT(AJ57,1),"R"),FK$18),"")</f>
        <v>27</v>
      </c>
      <c r="FL57" s="88">
        <f t="shared" ref="FL57" si="2461">IFERROR(IF(AND($E58="H",AK57&lt;&gt;""),IF(OR(LEFT(AK57,1)="T",LEFT(AK57,1)="S",LEFT(AK57,1)="A",LEFT(AK57,1)="F",LEFT(AK57,1)="C"),LEFT(AK57,1),"R"),FL$18),"")</f>
        <v>28</v>
      </c>
      <c r="FM57" s="88">
        <f t="shared" ref="FM57" si="2462">IFERROR(IF(AND($E58="H",AL57&lt;&gt;""),IF(OR(LEFT(AL57,1)="T",LEFT(AL57,1)="S",LEFT(AL57,1)="A",LEFT(AL57,1)="F",LEFT(AL57,1)="C"),LEFT(AL57,1),"R"),FM$18),"")</f>
        <v>29</v>
      </c>
      <c r="FN57" s="88">
        <f t="shared" ref="FN57" si="2463">IFERROR(IF(AND($E58="H",AM57&lt;&gt;""),IF(OR(LEFT(AM57,1)="T",LEFT(AM57,1)="S",LEFT(AM57,1)="A",LEFT(AM57,1)="F",LEFT(AM57,1)="C"),LEFT(AM57,1),"R"),FN$18),"")</f>
        <v>30</v>
      </c>
      <c r="FO57" s="88"/>
      <c r="FP57" s="88"/>
      <c r="FQ57" s="88"/>
      <c r="FR57" s="285"/>
      <c r="FS57" s="285"/>
      <c r="FT57" s="285"/>
      <c r="FU57" s="285"/>
      <c r="FV57" s="285"/>
      <c r="FW57" s="285"/>
      <c r="FX57" s="285"/>
      <c r="FY57" s="285"/>
      <c r="FZ57" s="285"/>
      <c r="GA57" s="285"/>
      <c r="GB57" s="285"/>
      <c r="GC57" s="285"/>
      <c r="GD57" s="285"/>
      <c r="GE57" s="285"/>
      <c r="GF57" s="285"/>
      <c r="GG57" s="285"/>
      <c r="GH57" s="285"/>
      <c r="GI57" s="285"/>
      <c r="GJ57" s="285"/>
      <c r="GK57" s="285"/>
      <c r="GL57" s="285"/>
      <c r="GM57" s="285"/>
      <c r="GN57" s="285"/>
      <c r="GO57" s="285"/>
      <c r="GP57" s="285"/>
      <c r="GQ57" s="285"/>
      <c r="GR57" s="285"/>
      <c r="GS57" s="285"/>
      <c r="GT57" s="285"/>
      <c r="GU57" s="285"/>
      <c r="GV57" s="88"/>
      <c r="GW57" s="88">
        <f t="shared" ref="GW57" si="2464">COUNTIF($EK57:$FN57,GW$18)</f>
        <v>0</v>
      </c>
      <c r="GX57" s="88">
        <f t="shared" si="1021"/>
        <v>0</v>
      </c>
      <c r="GY57" s="88">
        <f t="shared" si="1021"/>
        <v>0</v>
      </c>
      <c r="GZ57" s="88">
        <f t="shared" si="1021"/>
        <v>0</v>
      </c>
      <c r="HA57" s="88">
        <f t="shared" si="1021"/>
        <v>0</v>
      </c>
      <c r="HB57" s="88">
        <f t="shared" si="1021"/>
        <v>0</v>
      </c>
      <c r="HC57" s="88"/>
      <c r="HD57" s="88" t="str">
        <f t="shared" ref="HD57" si="2465">IF(AND($F57="Hybrid - Thrust + 2 connections",HD58=0,LEFT($J57,1)="C",LEFT($K57,1)="C",LEFT($L57,1)="C"),"X","")</f>
        <v/>
      </c>
      <c r="HE57" s="88"/>
      <c r="HF57" s="91"/>
      <c r="HG57" s="100"/>
      <c r="HH57" s="100"/>
      <c r="HI57" s="91" t="str">
        <f t="shared" ref="HI57" si="2466">IF(E58=3,IF(_xlfn.NUMBERVALUE(LEFT(J57,1))&gt;0,_xlfn.NUMBERVALUE(LEFT(J57,1)),""),"")</f>
        <v/>
      </c>
      <c r="HK57" s="91" t="str">
        <f>IF(OR(E58="B",E58="P"),E58,"")</f>
        <v/>
      </c>
      <c r="HL57" s="91" t="str">
        <f>IF(AND(J57&lt;&gt;"",HK57&lt;&gt;""),IF(HK57="B",MATCH(J57,AcroDD!$U$3:$AE$3,0),MATCH(J57,AcroDD!$U$30:$AC$30,0)),"")</f>
        <v/>
      </c>
      <c r="HM57" s="91" t="str">
        <f t="shared" ref="HM57" si="2467">IF(AND(K57&lt;&gt;"",HK57&lt;&gt;""),K57,"")</f>
        <v/>
      </c>
      <c r="HN57" s="91" t="str">
        <f>_xlfn.LET(_xlpm.lista,IF(HK57="B",INDEX(AcroDD!$T$4:$AE$23,0,HL57+1),INDEX(AcroDD!$T$31:$AC$50,0,HL57+1)),IF(AND(OR(HK57="B",HK57="P"),HL57&lt;&gt;"",HM57&lt;&gt;""),IF(ISNUMBER(MATCH(HM57,_xlpm.lista,0)),"OK","X"),""))</f>
        <v/>
      </c>
    </row>
    <row r="58" spans="1:222" ht="12.75" customHeight="1" thickBot="1" x14ac:dyDescent="0.4">
      <c r="A58" s="33"/>
      <c r="B58" s="34"/>
      <c r="C58" s="34"/>
      <c r="D58" s="34"/>
      <c r="E58" s="177" t="str">
        <f t="shared" ref="E58" si="2468">IF(F57="Acrobatic - Pair","PA",IF(F57="Acrobatic Airborn","A",IF(F57="Acrobatic Balance","B",IF(F57="Acrobatic Combined","C",IF(F57="Acrobatic Platform","P",IF(F57="Technical Required Element",3,IF(LEFT(F57,4)="Hybr","H","")))))))</f>
        <v/>
      </c>
      <c r="F58" s="177" t="str">
        <f>IF(AND(F57="Hybrid - Thrust + 2 connections",CR57="X"),"Hybrid - Thrust",IF(OR(E58="A",E58="B",E58="C",E58="P"),"Acrobatic",""))</f>
        <v/>
      </c>
      <c r="G58" s="178"/>
      <c r="H58" s="218" t="str">
        <f t="shared" ref="H58" si="2469">IF(E58="PA",IF(OR(LEFT(J57,1)="L",LEFT(J57,1)="S"),"A-Pair-Lift",IF(OR(LEFT(J57,1)="W",LEFT(J57,1)="T"),"A-Pair-Throw",IF(LEFT(J57,1)="J","A-Pair-Jump","A-Pair"))),IF(OR(E58="A",E58="B",E58="C",E58="P"),CONCATENATE("Acro-",E58),""))</f>
        <v/>
      </c>
      <c r="I58" s="179" t="e">
        <f>IF(OR(F57="Hybrid - Choreography (DD = 1)",LEFT(F57,5)="Trans"),0,INDEX($BY$3:$BY$9,MATCH(E58,$BX$3:$BX$9,0)))</f>
        <v>#N/A</v>
      </c>
      <c r="J58" s="189">
        <f ca="1">IFERROR(IF($H57="No DD",IF(J57="ChoHY",1,0),IF(OR(ISBLANK(J57),J57="N/A"),0,INDEX(INDIRECT(BI58),MATCH(J57,INDIRECT(BI57),0)))),0)</f>
        <v>0</v>
      </c>
      <c r="K58" s="180">
        <f t="shared" ref="K58:Y58" ca="1" si="2470">IFERROR(IF($H57="No DD",0,IF(OR(ISBLANK(K57),K57="N/A"),0,INDEX(INDIRECT(BJ58),MATCH(K57,INDIRECT(BJ57),0)))),0)</f>
        <v>0</v>
      </c>
      <c r="L58" s="180">
        <f t="shared" ca="1" si="2470"/>
        <v>0</v>
      </c>
      <c r="M58" s="180">
        <f t="shared" ca="1" si="2470"/>
        <v>0</v>
      </c>
      <c r="N58" s="180">
        <f t="shared" ca="1" si="2470"/>
        <v>0</v>
      </c>
      <c r="O58" s="180">
        <f t="shared" ca="1" si="2470"/>
        <v>0</v>
      </c>
      <c r="P58" s="180">
        <f t="shared" ca="1" si="2470"/>
        <v>0</v>
      </c>
      <c r="Q58" s="180">
        <f t="shared" ca="1" si="2470"/>
        <v>0</v>
      </c>
      <c r="R58" s="180">
        <f t="shared" ca="1" si="2470"/>
        <v>0</v>
      </c>
      <c r="S58" s="180">
        <f t="shared" ca="1" si="2470"/>
        <v>0</v>
      </c>
      <c r="T58" s="180">
        <f t="shared" ca="1" si="2470"/>
        <v>0</v>
      </c>
      <c r="U58" s="180">
        <f t="shared" ca="1" si="2470"/>
        <v>0</v>
      </c>
      <c r="V58" s="180">
        <f t="shared" ca="1" si="2470"/>
        <v>0</v>
      </c>
      <c r="W58" s="180">
        <f t="shared" ca="1" si="2470"/>
        <v>0</v>
      </c>
      <c r="X58" s="180">
        <f t="shared" ca="1" si="2470"/>
        <v>0</v>
      </c>
      <c r="Y58" s="180">
        <f t="shared" ca="1" si="2470"/>
        <v>0</v>
      </c>
      <c r="Z58" s="180">
        <f t="shared" ref="Z58" ca="1" si="2471">IFERROR(IF($H57="No DD",0,IF(OR(ISBLANK(Z57),Z57="N/A"),0,INDEX(INDIRECT(BY58),MATCH(Z57,INDIRECT(BY57),0)))),0)</f>
        <v>0</v>
      </c>
      <c r="AA58" s="180">
        <f t="shared" ref="AA58" ca="1" si="2472">IFERROR(IF($H57="No DD",0,IF(OR(ISBLANK(AA57),AA57="N/A"),0,INDEX(INDIRECT(BZ58),MATCH(AA57,INDIRECT(BZ57),0)))),0)</f>
        <v>0</v>
      </c>
      <c r="AB58" s="180">
        <f t="shared" ref="AB58" ca="1" si="2473">IFERROR(IF($H57="No DD",0,IF(OR(ISBLANK(AB57),AB57="N/A"),0,INDEX(INDIRECT(CA58),MATCH(AB57,INDIRECT(CA57),0)))),0)</f>
        <v>0</v>
      </c>
      <c r="AC58" s="180">
        <f t="shared" ref="AC58" ca="1" si="2474">IFERROR(IF($H57="No DD",0,IF(OR(ISBLANK(AC57),AC57="N/A"),0,INDEX(INDIRECT(CB58),MATCH(AC57,INDIRECT(CB57),0)))),0)</f>
        <v>0</v>
      </c>
      <c r="AD58" s="180">
        <f t="shared" ref="AD58" ca="1" si="2475">IFERROR(IF($H57="No DD",0,IF(OR(ISBLANK(AD57),AD57="N/A"),0,INDEX(INDIRECT(CC58),MATCH(AD57,INDIRECT(CC57),0)))),0)</f>
        <v>0</v>
      </c>
      <c r="AE58" s="180">
        <f t="shared" ref="AE58" ca="1" si="2476">IFERROR(IF($H57="No DD",0,IF(OR(ISBLANK(AE57),AE57="N/A"),0,INDEX(INDIRECT(CD58),MATCH(AE57,INDIRECT(CD57),0)))),0)</f>
        <v>0</v>
      </c>
      <c r="AF58" s="180">
        <f t="shared" ref="AF58" ca="1" si="2477">IFERROR(IF($H57="No DD",0,IF(OR(ISBLANK(AF57),AF57="N/A"),0,INDEX(INDIRECT(CE58),MATCH(AF57,INDIRECT(CE57),0)))),0)</f>
        <v>0</v>
      </c>
      <c r="AG58" s="180">
        <f t="shared" ref="AG58" ca="1" si="2478">IFERROR(IF($H57="No DD",0,IF(OR(ISBLANK(AG57),AG57="N/A"),0,INDEX(INDIRECT(CF58),MATCH(AG57,INDIRECT(CF57),0)))),0)</f>
        <v>0</v>
      </c>
      <c r="AH58" s="180">
        <f t="shared" ref="AH58" ca="1" si="2479">IFERROR(IF($H57="No DD",0,IF(OR(ISBLANK(AH57),AH57="N/A"),0,INDEX(INDIRECT(CG58),MATCH(AH57,INDIRECT(CG57),0)))),0)</f>
        <v>0</v>
      </c>
      <c r="AI58" s="180">
        <f t="shared" ref="AI58" ca="1" si="2480">IFERROR(IF($H57="No DD",0,IF(OR(ISBLANK(AI57),AI57="N/A"),0,INDEX(INDIRECT(CH58),MATCH(AI57,INDIRECT(CH57),0)))),0)</f>
        <v>0</v>
      </c>
      <c r="AJ58" s="180">
        <f t="shared" ref="AJ58" ca="1" si="2481">IFERROR(IF($H57="No DD",0,IF(OR(ISBLANK(AJ57),AJ57="N/A"),0,INDEX(INDIRECT(CI58),MATCH(AJ57,INDIRECT(CI57),0)))),0)</f>
        <v>0</v>
      </c>
      <c r="AK58" s="180">
        <f t="shared" ref="AK58" ca="1" si="2482">IFERROR(IF($H57="No DD",0,IF(OR(ISBLANK(AK57),AK57="N/A"),0,INDEX(INDIRECT(CJ58),MATCH(AK57,INDIRECT(CJ57),0)))),0)</f>
        <v>0</v>
      </c>
      <c r="AL58" s="180">
        <f t="shared" ref="AL58" ca="1" si="2483">IFERROR(IF($H57="No DD",0,IF(OR(ISBLANK(AL57),AL57="N/A"),0,INDEX(INDIRECT(CK58),MATCH(AL57,INDIRECT(CK57),0)))),0)</f>
        <v>0</v>
      </c>
      <c r="AM58" s="219">
        <f t="shared" ref="AM58" ca="1" si="2484">IFERROR(IF($H57="No DD",0,IF(OR(ISBLANK(AM57),AM57="N/A"),0,INDEX(INDIRECT(CL58),MATCH(AM57,INDIRECT(CL57),0)))),0)</f>
        <v>0</v>
      </c>
      <c r="AN58" s="181" t="str">
        <f>IFERROR(IF(E58="H",INDEX(HybridBonus_Value,MATCH(AN57,HybridBonus_Code,0)),""),"")</f>
        <v/>
      </c>
      <c r="AO58" s="277" t="str">
        <f t="shared" ref="AO58" si="2485">IFERROR(SUM(I58:AN58),"")</f>
        <v/>
      </c>
      <c r="AP58" s="62"/>
      <c r="AQ58" s="62"/>
      <c r="AR58" s="101"/>
      <c r="AS58" s="101"/>
      <c r="AT58" s="101"/>
      <c r="AU58" s="101"/>
      <c r="AV58" s="101"/>
      <c r="BA58" s="90"/>
      <c r="BB58" s="101"/>
      <c r="BC58" s="101"/>
      <c r="BD58" s="101"/>
      <c r="BE58" s="101"/>
      <c r="BF58" s="101"/>
      <c r="BG58" s="90"/>
      <c r="BH58" s="101"/>
      <c r="BI58" s="91" t="str">
        <f t="shared" ref="BI58" si="2486">IF($E58="H",IF($F57="Hybrid - Thrust + 2 connections","Hybrid_Mix_Req_Value","HybridDD_Value"),IF($E58=3,"TreDD_Value",IF($E58="PA","AcroPair_Value",IF(LEFT($F57,4)="Acro",CONCATENATE(BI$16,$E58,"_Value"),""))))</f>
        <v/>
      </c>
      <c r="BJ58" s="91" t="str">
        <f t="shared" ref="BJ58" si="2487">IF($E58="H",IF($F57="Hybrid - Thrust + 2 connections","Hybrid_Mix_Req_Value","HybridDD_Value"),IF($E58=3,"TreDD_Value",IF($E58="PA","AcroPair_Value",IF(LEFT($F57,4)="Acro",CONCATENATE(BJ$16,$E58,"_Value"),""))))</f>
        <v/>
      </c>
      <c r="BK58" s="91" t="str">
        <f t="shared" ref="BK58" si="2488">IF($E58="H",IF($F57="Hybrid - Thrust + 2 connections","Hybrid_Mix_Req_Value","HybridDD_Value"),IF($E58=3,"TreDD_Value",IF($E58="PA","AcroPair_Value",IF(LEFT($F57,4)="Acro",CONCATENATE(BK$16,$E58,"_Value"),""))))</f>
        <v/>
      </c>
      <c r="BL58" s="91" t="str">
        <f t="shared" ref="BL58" si="2489">IF($E58="H",IF($F57="Hybrid - Thrust + 2 connections","Hybrid_Mix_Req_Value","HybridDD_Value"),IF($E58=3,"TreDD_Value",IF($E58="PA","AcroPair_Value",IF(LEFT($F57,4)="Acro",CONCATENATE(BL$16,$E58,"_Value"),""))))</f>
        <v/>
      </c>
      <c r="BM58" s="91" t="str">
        <f t="shared" ref="BM58" si="2490">IF($E58="H",IF($F57="Hybrid - Thrust + 2 connections","Hybrid_Mix_Req_Value","HybridDD_Value"),IF($E58=3,"TreDD_Value",IF($E58="PA","AcroPair_Value",IF(LEFT($F57,4)="Acro",CONCATENATE(BM$16,$E58,"_Value"),""))))</f>
        <v/>
      </c>
      <c r="BN58" s="91" t="str">
        <f t="shared" ref="BN58" si="2491">IF($E58="H",IF($F57="Hybrid - Thrust + 2 connections","Hybrid_Mix_Req_Value","HybridDD_Value"),IF($E58=3,"TreDD_Value",IF($E58="PA","AcroPair_Value",IF(LEFT($F57,4)="Acro",CONCATENATE(BN$16,$E58,"_Value"),""))))</f>
        <v/>
      </c>
      <c r="BO58" s="91" t="str">
        <f t="shared" ref="BO58" si="2492">IF($E58="H",IF($F57="Hybrid - Thrust + 2 connections","Hybrid_Mix_Req_Value","HybridDD_Value"),IF($E58=3,"TreDD_Value",IF($E58="PA","AcroPair_Value",IF(LEFT($F57,4)="Acro",CONCATENATE(BO$16,$E58,"_Value"),""))))</f>
        <v/>
      </c>
      <c r="BP58" s="91" t="str">
        <f t="shared" ref="BP58" si="2493">IF($E58="H",IF($F57="Hybrid - Thrust + 2 connections","Hybrid_Mix_Req_Value","HybridDD_Value"),IF($E58=3,"TreDD_Value",IF($E58="PA","AcroPair_Value",IF(LEFT($F57,4)="Acro",CONCATENATE(BP$16,$E58,"_Value"),""))))</f>
        <v/>
      </c>
      <c r="BQ58" s="91" t="str">
        <f t="shared" ref="BQ58" si="2494">IF($E58="H",IF($F57="Hybrid - Thrust + 2 connections","Hybrid_Mix_Req_Value","HybridDD_Value"),IF($E58=3,"TreDD_Value",IF($E58="PA","AcroPair_Value",IF(LEFT($F57,4)="Acro",CONCATENATE(BQ$16,$E58,"_Value"),""))))</f>
        <v/>
      </c>
      <c r="BR58" s="90" t="str">
        <f t="shared" ref="BR58" si="2495">IF($E58="H",IF($F57="Hybrid - Thrust + 2 connections","Data!$BI$1:$BI$5","HybridDD_Value"),"Data!$BI$1:$BI$5")</f>
        <v>Data!$BI$1:$BI$5</v>
      </c>
      <c r="BS58" s="90" t="str">
        <f t="shared" ref="BS58" si="2496">IF($E58="H",IF($F57="Hybrid - Thrust + 2 connections","Data!$BI$1:$BI$5","HybridDD_Value"),"Data!$BI$1:$BI$5")</f>
        <v>Data!$BI$1:$BI$5</v>
      </c>
      <c r="BT58" s="90" t="str">
        <f t="shared" ref="BT58" si="2497">IF($E58="H",IF($F57="Hybrid - Thrust + 2 connections","Data!$BI$1:$BI$5","HybridDD_Value"),"Data!$BI$1:$BI$5")</f>
        <v>Data!$BI$1:$BI$5</v>
      </c>
      <c r="BU58" s="90" t="str">
        <f t="shared" ref="BU58" si="2498">IF($E58="H",IF($F57="Hybrid - Thrust + 2 connections","Data!$BI$1:$BI$5","HybridDD_Value"),"Data!$BI$1:$BI$5")</f>
        <v>Data!$BI$1:$BI$5</v>
      </c>
      <c r="BV58" s="90" t="str">
        <f t="shared" ref="BV58" si="2499">IF($E58="H",IF($F57="Hybrid - Thrust + 2 connections","Data!$BI$1:$BI$5","HybridDD_Value"),"Data!$BI$1:$BI$5")</f>
        <v>Data!$BI$1:$BI$5</v>
      </c>
      <c r="BW58" s="90" t="str">
        <f t="shared" ref="BW58" si="2500">IF($E58="H",IF($F57="Hybrid - Thrust + 2 connections","Data!$BI$1:$BI$5","HybridDD_Value"),"Data!$BI$1:$BI$5")</f>
        <v>Data!$BI$1:$BI$5</v>
      </c>
      <c r="BX58" s="90" t="str">
        <f t="shared" ref="BX58" si="2501">IF($E58="H",IF($F57="Hybrid - Thrust + 2 connections","Data!$BI$1:$BI$5","HybridDD_Value"),"Data!$BI$1:$BI$5")</f>
        <v>Data!$BI$1:$BI$5</v>
      </c>
      <c r="BY58" s="90" t="str">
        <f t="shared" ref="BY58" si="2502">IF($E58="H",IF($F57="Hybrid - Thrust + 2 connections","Data!$BI$1:$BI$5","HybridDD_Value"),"Data!$BI$1:$BI$5")</f>
        <v>Data!$BI$1:$BI$5</v>
      </c>
      <c r="BZ58" s="90" t="str">
        <f t="shared" ref="BZ58" si="2503">IF($E58="H",IF($F57="Hybrid - Thrust + 2 connections","Data!$BI$1:$BI$5","HybridDD_Value"),"Data!$BI$1:$BI$5")</f>
        <v>Data!$BI$1:$BI$5</v>
      </c>
      <c r="CA58" s="90" t="str">
        <f t="shared" ref="CA58" si="2504">IF($E58="H",IF($F57="Hybrid - Thrust + 2 connections","Data!$BI$1:$BI$5","HybridDD_Value"),"Data!$BI$1:$BI$5")</f>
        <v>Data!$BI$1:$BI$5</v>
      </c>
      <c r="CB58" s="90" t="str">
        <f t="shared" ref="CB58" si="2505">IF($E58="H",IF($F57="Hybrid - Thrust + 2 connections","Data!$BI$1:$BI$5","HybridDD_Value"),"Data!$BI$1:$BI$5")</f>
        <v>Data!$BI$1:$BI$5</v>
      </c>
      <c r="CC58" s="90" t="str">
        <f t="shared" ref="CC58" si="2506">IF($E58="H",IF($F57="Hybrid - Thrust + 2 connections","Data!$BI$1:$BI$5","HybridDD_Value"),"Data!$BI$1:$BI$5")</f>
        <v>Data!$BI$1:$BI$5</v>
      </c>
      <c r="CD58" s="90" t="str">
        <f t="shared" ref="CD58" si="2507">IF($E58="H",IF($F57="Hybrid - Thrust + 2 connections","Data!$BI$1:$BI$5","HybridDD_Value"),"Data!$BI$1:$BI$5")</f>
        <v>Data!$BI$1:$BI$5</v>
      </c>
      <c r="CE58" s="90" t="str">
        <f t="shared" ref="CE58" si="2508">IF($E58="H",IF($F57="Hybrid - Thrust + 2 connections","Data!$BI$1:$BI$5","HybridDD_Value"),"Data!$BI$1:$BI$5")</f>
        <v>Data!$BI$1:$BI$5</v>
      </c>
      <c r="CF58" s="90" t="str">
        <f t="shared" ref="CF58" si="2509">IF($E58="H",IF($F57="Hybrid - Thrust + 2 connections","Data!$BI$1:$BI$5","HybridDD_Value"),"Data!$BI$1:$BI$5")</f>
        <v>Data!$BI$1:$BI$5</v>
      </c>
      <c r="CG58" s="90" t="str">
        <f t="shared" ref="CG58" si="2510">IF($E58="H",IF($F57="Hybrid - Thrust + 2 connections","Data!$BI$1:$BI$5","HybridDD_Value"),"Data!$BI$1:$BI$5")</f>
        <v>Data!$BI$1:$BI$5</v>
      </c>
      <c r="CH58" s="90" t="str">
        <f t="shared" ref="CH58" si="2511">IF($E58="H",IF($F57="Hybrid - Thrust + 2 connections","Data!$BI$1:$BI$5","HybridDD_Value"),"Data!$BI$1:$BI$5")</f>
        <v>Data!$BI$1:$BI$5</v>
      </c>
      <c r="CI58" s="90" t="str">
        <f t="shared" ref="CI58" si="2512">IF($E58="H",IF($F57="Hybrid - Thrust + 2 connections","Data!$BI$1:$BI$5","HybridDD_Value"),"Data!$BI$1:$BI$5")</f>
        <v>Data!$BI$1:$BI$5</v>
      </c>
      <c r="CJ58" s="90" t="str">
        <f t="shared" ref="CJ58" si="2513">IF($E58="H",IF($F57="Hybrid - Thrust + 2 connections","Data!$BI$1:$BI$5","HybridDD_Value"),"Data!$BI$1:$BI$5")</f>
        <v>Data!$BI$1:$BI$5</v>
      </c>
      <c r="CK58" s="90" t="str">
        <f t="shared" ref="CK58" si="2514">IF($E58="H",IF($F57="Hybrid - Thrust + 2 connections","Data!$BI$1:$BI$5","HybridDD_Value"),"Data!$BI$1:$BI$5")</f>
        <v>Data!$BI$1:$BI$5</v>
      </c>
      <c r="CL58" s="90" t="str">
        <f t="shared" ref="CL58" si="2515">IF($E58="H",IF($F57="Hybrid - Thrust + 2 connections","Data!$BI$1:$BI$5","HybridDD_Value"),"Data!$BI$1:$BI$5")</f>
        <v>Data!$BI$1:$BI$5</v>
      </c>
      <c r="CM58" s="101"/>
      <c r="CN58" s="101"/>
      <c r="CO58" s="102" t="str">
        <f>IFERROR(IF(AND($BV$6="T",$BV$8="T",LEFT(F57,4)="Acro",AO58&gt;3),"X",IF($N$7="X",IF(AND(E58="C",AO58&gt;$CN$6),"X",IF(AND(E58="A",AO58&gt;$CN$4),"X",IF(AND(E58="B",AO58&gt;$CN$5),"X",IF(AND(E58="P",AO58&gt;$CN$7),"X","")))),"")),"")</f>
        <v/>
      </c>
      <c r="CP58" s="93"/>
      <c r="CQ58" s="91"/>
      <c r="CS58" s="91"/>
      <c r="CT58" s="91"/>
      <c r="CU58" s="91"/>
      <c r="CV58" s="91"/>
      <c r="CW58" s="91"/>
      <c r="CX58" s="91"/>
      <c r="CY58" s="91"/>
      <c r="CZ58" s="91"/>
      <c r="DD58" s="88" t="str">
        <f t="shared" si="2030"/>
        <v/>
      </c>
      <c r="DE58" s="88" t="str">
        <f t="shared" si="2031"/>
        <v/>
      </c>
      <c r="DF58" s="88" t="str">
        <f t="shared" si="2032"/>
        <v/>
      </c>
      <c r="DG58" s="88" t="str">
        <f t="shared" si="2033"/>
        <v/>
      </c>
      <c r="DO58" s="88">
        <v>40</v>
      </c>
      <c r="ED58" s="88" t="str">
        <f t="shared" si="14"/>
        <v/>
      </c>
      <c r="EE58" s="88" t="str">
        <f t="shared" si="15"/>
        <v/>
      </c>
      <c r="EI58" s="88" t="str" cm="1">
        <f t="array" ref="EI58">IFERROR(INDEX(EK58:FN58,MATCH(TRUE,INDEX((EK58:FN58&lt;&gt;""),),0)),"")</f>
        <v/>
      </c>
      <c r="EK58" s="88" t="str">
        <f t="shared" ref="EK58" si="2516">IF(F57="Hybrid - Thrust + 2 connections",IF(COUNTIF($EK57:$FN57,EK57)&gt;1,EK57,""),IF(COUNTIF($EK57:$FN57,EK57)&gt;5,EK57,""))</f>
        <v/>
      </c>
      <c r="EL58" s="88" t="str">
        <f t="shared" ref="EL58" si="2517">IF(G57="Hybrid - Thrust + 2 connections",IF(COUNTIF($EK57:$FN57,EL57)&gt;1,EL57,""),IF(COUNTIF($EK57:$FN57,EL57)&gt;5,EL57,""))</f>
        <v/>
      </c>
      <c r="EM58" s="88" t="str">
        <f t="shared" ref="EM58" si="2518">IF(H57="Hybrid - Thrust + 2 connections",IF(COUNTIF($EK57:$FN57,EM57)&gt;1,EM57,""),IF(COUNTIF($EK57:$FN57,EM57)&gt;5,EM57,""))</f>
        <v/>
      </c>
      <c r="EN58" s="88" t="str">
        <f t="shared" ref="EN58" si="2519">IF(I57="Hybrid - Thrust + 2 connections",IF(COUNTIF($EK57:$FN57,EN57)&gt;1,EN57,""),IF(COUNTIF($EK57:$FN57,EN57)&gt;5,EN57,""))</f>
        <v/>
      </c>
      <c r="EO58" s="88" t="str">
        <f t="shared" ref="EO58" si="2520">IF(J57="Hybrid - Thrust + 2 connections",IF(COUNTIF($EK57:$FN57,EO57)&gt;1,EO57,""),IF(COUNTIF($EK57:$FN57,EO57)&gt;5,EO57,""))</f>
        <v/>
      </c>
      <c r="EP58" s="88" t="str">
        <f t="shared" ref="EP58" si="2521">IF(K57="Hybrid - Thrust + 2 connections",IF(COUNTIF($EK57:$FN57,EP57)&gt;1,EP57,""),IF(COUNTIF($EK57:$FN57,EP57)&gt;5,EP57,""))</f>
        <v/>
      </c>
      <c r="EQ58" s="88" t="str">
        <f t="shared" ref="EQ58" si="2522">IF(L57="Hybrid - Thrust + 2 connections",IF(COUNTIF($EK57:$FN57,EQ57)&gt;1,EQ57,""),IF(COUNTIF($EK57:$FN57,EQ57)&gt;5,EQ57,""))</f>
        <v/>
      </c>
      <c r="ER58" s="88" t="str">
        <f t="shared" ref="ER58" si="2523">IF(M57="Hybrid - Thrust + 2 connections",IF(COUNTIF($EK57:$FN57,ER57)&gt;1,ER57,""),IF(COUNTIF($EK57:$FN57,ER57)&gt;5,ER57,""))</f>
        <v/>
      </c>
      <c r="ES58" s="88" t="str">
        <f t="shared" ref="ES58" si="2524">IF(N57="Hybrid - Thrust + 2 connections",IF(COUNTIF($EK57:$FN57,ES57)&gt;1,ES57,""),IF(COUNTIF($EK57:$FN57,ES57)&gt;5,ES57,""))</f>
        <v/>
      </c>
      <c r="ET58" s="88" t="str">
        <f t="shared" ref="ET58" si="2525">IF(O57="Hybrid - Thrust + 2 connections",IF(COUNTIF($EK57:$FN57,ET57)&gt;1,ET57,""),IF(COUNTIF($EK57:$FN57,ET57)&gt;5,ET57,""))</f>
        <v/>
      </c>
      <c r="EU58" s="88" t="str">
        <f t="shared" ref="EU58" si="2526">IF(P57="Hybrid - Thrust + 2 connections",IF(COUNTIF($EK57:$FN57,EU57)&gt;1,EU57,""),IF(COUNTIF($EK57:$FN57,EU57)&gt;5,EU57,""))</f>
        <v/>
      </c>
      <c r="EV58" s="88" t="str">
        <f t="shared" ref="EV58" si="2527">IF(Q57="Hybrid - Thrust + 2 connections",IF(COUNTIF($EK57:$FN57,EV57)&gt;1,EV57,""),IF(COUNTIF($EK57:$FN57,EV57)&gt;5,EV57,""))</f>
        <v/>
      </c>
      <c r="EW58" s="88" t="str">
        <f t="shared" ref="EW58" si="2528">IF(R57="Hybrid - Thrust + 2 connections",IF(COUNTIF($EK57:$FN57,EW57)&gt;1,EW57,""),IF(COUNTIF($EK57:$FN57,EW57)&gt;5,EW57,""))</f>
        <v/>
      </c>
      <c r="EX58" s="88" t="str">
        <f t="shared" ref="EX58" si="2529">IF(S57="Hybrid - Thrust + 2 connections",IF(COUNTIF($EK57:$FN57,EX57)&gt;1,EX57,""),IF(COUNTIF($EK57:$FN57,EX57)&gt;5,EX57,""))</f>
        <v/>
      </c>
      <c r="EY58" s="88" t="str">
        <f t="shared" ref="EY58" si="2530">IF(T57="Hybrid - Thrust + 2 connections",IF(COUNTIF($EK57:$FN57,EY57)&gt;1,EY57,""),IF(COUNTIF($EK57:$FN57,EY57)&gt;5,EY57,""))</f>
        <v/>
      </c>
      <c r="EZ58" s="88" t="str">
        <f t="shared" ref="EZ58" si="2531">IF(U57="Hybrid - Thrust + 2 connections",IF(COUNTIF($EK57:$FN57,EZ57)&gt;1,EZ57,""),IF(COUNTIF($EK57:$FN57,EZ57)&gt;5,EZ57,""))</f>
        <v/>
      </c>
      <c r="FA58" s="88" t="str">
        <f t="shared" ref="FA58" si="2532">IF(V57="Hybrid - Thrust + 2 connections",IF(COUNTIF($EK57:$FN57,FA57)&gt;1,FA57,""),IF(COUNTIF($EK57:$FN57,FA57)&gt;5,FA57,""))</f>
        <v/>
      </c>
      <c r="FB58" s="88" t="str">
        <f t="shared" ref="FB58" si="2533">IF(W57="Hybrid - Thrust + 2 connections",IF(COUNTIF($EK57:$FN57,FB57)&gt;1,FB57,""),IF(COUNTIF($EK57:$FN57,FB57)&gt;5,FB57,""))</f>
        <v/>
      </c>
      <c r="FC58" s="88" t="str">
        <f t="shared" ref="FC58" si="2534">IF(X57="Hybrid - Thrust + 2 connections",IF(COUNTIF($EK57:$FN57,FC57)&gt;1,FC57,""),IF(COUNTIF($EK57:$FN57,FC57)&gt;5,FC57,""))</f>
        <v/>
      </c>
      <c r="FD58" s="88" t="str">
        <f t="shared" ref="FD58" si="2535">IF(Y57="Hybrid - Thrust + 2 connections",IF(COUNTIF($EK57:$FN57,FD57)&gt;1,FD57,""),IF(COUNTIF($EK57:$FN57,FD57)&gt;5,FD57,""))</f>
        <v/>
      </c>
      <c r="FE58" s="88" t="str">
        <f t="shared" ref="FE58" si="2536">IF(Z57="Hybrid - Thrust + 2 connections",IF(COUNTIF($EK57:$FN57,FE57)&gt;1,FE57,""),IF(COUNTIF($EK57:$FN57,FE57)&gt;5,FE57,""))</f>
        <v/>
      </c>
      <c r="FF58" s="88" t="str">
        <f t="shared" ref="FF58" si="2537">IF(AA57="Hybrid - Thrust + 2 connections",IF(COUNTIF($EK57:$FN57,FF57)&gt;1,FF57,""),IF(COUNTIF($EK57:$FN57,FF57)&gt;5,FF57,""))</f>
        <v/>
      </c>
      <c r="FG58" s="88" t="str">
        <f t="shared" ref="FG58" si="2538">IF(AB57="Hybrid - Thrust + 2 connections",IF(COUNTIF($EK57:$FN57,FG57)&gt;1,FG57,""),IF(COUNTIF($EK57:$FN57,FG57)&gt;5,FG57,""))</f>
        <v/>
      </c>
      <c r="FH58" s="88" t="str">
        <f t="shared" ref="FH58" si="2539">IF(AC57="Hybrid - Thrust + 2 connections",IF(COUNTIF($EK57:$FN57,FH57)&gt;1,FH57,""),IF(COUNTIF($EK57:$FN57,FH57)&gt;5,FH57,""))</f>
        <v/>
      </c>
      <c r="FI58" s="88" t="str">
        <f t="shared" ref="FI58" si="2540">IF(AD57="Hybrid - Thrust + 2 connections",IF(COUNTIF($EK57:$FN57,FI57)&gt;1,FI57,""),IF(COUNTIF($EK57:$FN57,FI57)&gt;5,FI57,""))</f>
        <v/>
      </c>
      <c r="FJ58" s="88" t="str">
        <f t="shared" ref="FJ58" si="2541">IF(AE57="Hybrid - Thrust + 2 connections",IF(COUNTIF($EK57:$FN57,FJ57)&gt;1,FJ57,""),IF(COUNTIF($EK57:$FN57,FJ57)&gt;5,FJ57,""))</f>
        <v/>
      </c>
      <c r="FK58" s="88" t="str">
        <f t="shared" ref="FK58" si="2542">IF(AF57="Hybrid - Thrust + 2 connections",IF(COUNTIF($EK57:$FN57,FK57)&gt;1,FK57,""),IF(COUNTIF($EK57:$FN57,FK57)&gt;5,FK57,""))</f>
        <v/>
      </c>
      <c r="FL58" s="88" t="str">
        <f t="shared" ref="FL58" si="2543">IF(AG57="Hybrid - Thrust + 2 connections",IF(COUNTIF($EK57:$FN57,FL57)&gt;1,FL57,""),IF(COUNTIF($EK57:$FN57,FL57)&gt;5,FL57,""))</f>
        <v/>
      </c>
      <c r="FM58" s="88" t="str">
        <f t="shared" ref="FM58" si="2544">IF(AH57="Hybrid - Thrust + 2 connections",IF(COUNTIF($EK57:$FN57,FM57)&gt;1,FM57,""),IF(COUNTIF($EK57:$FN57,FM57)&gt;5,FM57,""))</f>
        <v/>
      </c>
      <c r="FN58" s="88" t="str">
        <f t="shared" ref="FN58" si="2545">IF(AI57="Hybrid - Thrust + 2 connections",IF(COUNTIF($EK57:$FN57,FN57)&gt;1,FN57,""),IF(COUNTIF($EK57:$FN57,FN57)&gt;5,FN57,""))</f>
        <v/>
      </c>
      <c r="FO58" s="88">
        <f t="shared" ref="FO58" si="2546">FO56+5</f>
        <v>95</v>
      </c>
      <c r="FP58" s="88" t="str" cm="1">
        <f t="array" ref="FP58">IF(FQ58&lt;&gt;"",LEFT(FQ58,FIND("*",FQ58)-1),INDEX($FP$75:$FP$172,FO58+1))</f>
        <v/>
      </c>
      <c r="FQ58" s="88" t="str" cm="1">
        <f t="array" ref="FQ58">INDEX($FQ$75:$FQ$172,FO58+1)</f>
        <v/>
      </c>
      <c r="FR58" s="285"/>
      <c r="FS58" s="285"/>
      <c r="FT58" s="285"/>
      <c r="FU58" s="285"/>
      <c r="FV58" s="285"/>
      <c r="FW58" s="285"/>
      <c r="FX58" s="285"/>
      <c r="FY58" s="285"/>
      <c r="FZ58" s="285"/>
      <c r="GA58" s="285"/>
      <c r="GB58" s="285"/>
      <c r="GC58" s="285"/>
      <c r="GD58" s="285"/>
      <c r="GE58" s="285"/>
      <c r="GF58" s="285"/>
      <c r="GG58" s="285"/>
      <c r="GH58" s="285"/>
      <c r="GI58" s="285"/>
      <c r="GJ58" s="285"/>
      <c r="GK58" s="285"/>
      <c r="GL58" s="285"/>
      <c r="GM58" s="285"/>
      <c r="GN58" s="285"/>
      <c r="GO58" s="285"/>
      <c r="GP58" s="285"/>
      <c r="GQ58" s="285"/>
      <c r="GR58" s="285"/>
      <c r="GS58" s="285"/>
      <c r="GT58" s="285"/>
      <c r="GU58" s="285"/>
      <c r="GV58" s="88"/>
      <c r="GW58" s="88"/>
      <c r="GX58" s="88"/>
      <c r="GY58" s="88"/>
      <c r="GZ58" s="88"/>
      <c r="HA58" s="88"/>
      <c r="HB58" s="88"/>
      <c r="HC58" s="88"/>
      <c r="HD58" s="88" t="str">
        <f>IF($F57="Hybrid - Thrust + 2 connections",COUNTBLANK(J57:L57),"")</f>
        <v/>
      </c>
      <c r="HE58" s="88"/>
      <c r="HF58" s="91"/>
      <c r="HG58" s="91"/>
      <c r="HH58" s="91"/>
      <c r="HI58" s="91"/>
    </row>
    <row r="59" spans="1:222" ht="15" hidden="1" customHeight="1" x14ac:dyDescent="0.35">
      <c r="A59" s="28" t="str">
        <f>IF(AND(E57="",A57&lt;&gt;""),IF(CP57=$CP$18,"",IF(C57&lt;&gt;"",IF(D57=59,MINUTE(CP57)+1,MINUTE(CP57)),"")),"")</f>
        <v/>
      </c>
      <c r="B59" s="29" t="str">
        <f>IF(AND(E57="",B57&lt;&gt;""),IF(CP57=$CP$18,"",IF(C57&lt;&gt;"",IF(D57=59,0,SECOND(CP57)+1),"")),"")</f>
        <v/>
      </c>
      <c r="C59" s="39"/>
      <c r="D59" s="39"/>
      <c r="E59" s="9"/>
      <c r="F59" s="40"/>
      <c r="G59" s="31" t="str">
        <f>IF(F59&lt;&gt;"",IF(OR(F59="Transition",F59="Transition - Surface Connection"),0,MAX($G$19:G58)+1),"")</f>
        <v/>
      </c>
      <c r="H59" s="43" t="str">
        <f t="shared" ref="H59" si="2547">IFERROR(IF(E60="3","",IF(OR(F59="Hybrid - min 4 swimmers (no DD)",LEFT(F59,5)="Trans"),"No DD",CONCATENATE("BM = ",I60))),"")</f>
        <v/>
      </c>
      <c r="I59" s="44"/>
      <c r="J59" s="109"/>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58"/>
      <c r="AO59" s="32"/>
      <c r="AP59" s="61"/>
      <c r="AQ59" s="61"/>
      <c r="AR59" s="90"/>
      <c r="AS59" s="90"/>
      <c r="AT59" s="90"/>
      <c r="AU59" s="90"/>
      <c r="AV59" s="90"/>
      <c r="AW59" s="90"/>
      <c r="AX59" s="90"/>
      <c r="AY59" s="90"/>
      <c r="AZ59" s="90"/>
      <c r="BA59" s="90"/>
      <c r="BB59" s="90"/>
      <c r="BC59" s="90"/>
      <c r="BD59" s="90"/>
      <c r="BE59" s="90"/>
      <c r="BF59" s="90"/>
      <c r="BG59" s="90" t="str">
        <f>IFERROR(IF(F59&lt;&gt;"",INDEX(Parts_Active,MATCH(F59,Parts_Active,0)),""),"No")</f>
        <v/>
      </c>
      <c r="BH59" s="90"/>
      <c r="BI59" s="90" t="str">
        <f t="shared" ref="BI59" si="2548">IF($E60="H",IF($F59="Hybrid - Thrust + 2 connections","Hybrid_Mix_Req","HybridDD_Code"),IF($E60=3,"TreDD_Code",IF($E60="PA","AcroPair_Code",IF(LEFT($F59,4)="Acro",CONCATENATE(BI$16,$E60,"_Code"),"Data!$BI$1:$BI$5"))))</f>
        <v>Data!$BI$1:$BI$5</v>
      </c>
      <c r="BJ59" s="90" t="str">
        <f t="shared" ref="BJ59" si="2549">IF($E60="H",IF($F59="Hybrid - Thrust + 2 connections","Hybrid_Mix_Req","HybridDD_Code"),IF($E60=3,"TreDD_Code",IF($E60="PA","AcroPair_Code",IF(LEFT($F59,4)="Acro",CONCATENATE(BJ$16,$E60,"_Code"),"Data!$BI$1:$BI$5"))))</f>
        <v>Data!$BI$1:$BI$5</v>
      </c>
      <c r="BK59" s="90" t="str">
        <f t="shared" ref="BK59" si="2550">IF($E60="H",IF($F59="Hybrid - Thrust + 2 connections","Hybrid_Mix_Req","HybridDD_Code"),IF($E60=3,"TreDD_Code",IF($E60="PA","AcroPair_Code",IF(LEFT($F59,4)="Acro",CONCATENATE(BK$16,$E60,"_Code"),"Data!$BI$1:$BI$5"))))</f>
        <v>Data!$BI$1:$BI$5</v>
      </c>
      <c r="BL59" s="90" t="str">
        <f t="shared" ref="BL59" si="2551">IF($E60="H",IF($F59="Hybrid - Thrust + 2 connections","Data!$BI$1:$BI$5","HybridDD_Code"),IF($E60=3,"Data!$BI$1:$BI$5",IF(LEFT($F59,4)="Acro",CONCATENATE(BL$16,$E60,"_Code"),IF($E60="PA","","Data!$BI$1:$BI$5"))))</f>
        <v>Data!$BI$1:$BI$5</v>
      </c>
      <c r="BM59" s="90" t="str">
        <f t="shared" ref="BM59" si="2552">IF($E60="H",IF($F59="Hybrid - Thrust + 2 connections","Data!$BI$1:$BI$5","HybridDD_Code"),IF($E60=3,"Data!$BI$1:$BI$5",IF(LEFT($F59,4)="Acro",CONCATENATE(BM$16,$E60,"_Code"),IF($E60="PA","","Data!$BI$1:$BI$5"))))</f>
        <v>Data!$BI$1:$BI$5</v>
      </c>
      <c r="BN59" s="90" t="str">
        <f t="shared" ref="BN59" si="2553">IF($E60="H",IF($F59="Hybrid - Thrust + 2 connections","Data!$BI$1:$BI$5","HybridDD_Code"),IF($E60=3,"Data!$BI$1:$BI$5",IF(LEFT($F59,4)="Acro",CONCATENATE(BN$16,$E60,"_Code"),IF($E60="PA","","Data!$BI$1:$BI$5"))))</f>
        <v>Data!$BI$1:$BI$5</v>
      </c>
      <c r="BO59" s="90" t="str">
        <f t="shared" ref="BO59" si="2554">IF($E60="H",IF($F59="Hybrid - Thrust + 2 connections","Data!$BI$1:$BI$5","HybridDD_Code"),IF($E60=3,"Data!$BI$1:$BI$5",IF(LEFT($F59,4)="Acro",CONCATENATE(BO$16,$E60,"_Code"),IF($E60="PA","","Data!$BI$1:$BI$5"))))</f>
        <v>Data!$BI$1:$BI$5</v>
      </c>
      <c r="BP59" s="90" t="str">
        <f t="shared" ref="BP59" si="2555">IF($E60="H",IF($F59="Hybrid - Thrust + 2 connections","Data!$BI$1:$BI$5","HybridDD_Code"),IF($E60=3,"Data!$BI$1:$BI$5",IF(LEFT($F59,4)="Acro",CONCATENATE(BP$16,$E60,"_Code"),IF($E60="PA","","Data!$BI$1:$BI$5"))))</f>
        <v>Data!$BI$1:$BI$5</v>
      </c>
      <c r="BQ59" s="90" t="str">
        <f t="shared" ref="BQ59" si="2556">IF($E60="H",IF($F59="Hybrid - Thrust + 2 connections","Data!$BI$1:$BI$5","HybridDD_Code"),IF($E60=3,"Data!$BI$1:$BI$5",IF(LEFT($F59,4)="Acro",CONCATENATE(BQ$16,$E60,"_Code"),IF($E60="PA","","Data!$BI$1:$BI$5"))))</f>
        <v>Data!$BI$1:$BI$5</v>
      </c>
      <c r="BR59" s="90" t="str">
        <f t="shared" ref="BR59" si="2557">IF($E60="H",IF($F59="Hybrid - Thrust + 2 connections","Data!$BI$1:$BI$5","HybridDD_Code"),"Data!$BI$1:$BI$5")</f>
        <v>Data!$BI$1:$BI$5</v>
      </c>
      <c r="BS59" s="90" t="str">
        <f t="shared" ref="BS59:CB68" si="2558">$BR59</f>
        <v>Data!$BI$1:$BI$5</v>
      </c>
      <c r="BT59" s="90" t="str">
        <f t="shared" si="2558"/>
        <v>Data!$BI$1:$BI$5</v>
      </c>
      <c r="BU59" s="90" t="str">
        <f t="shared" si="2558"/>
        <v>Data!$BI$1:$BI$5</v>
      </c>
      <c r="BV59" s="90" t="str">
        <f t="shared" si="2558"/>
        <v>Data!$BI$1:$BI$5</v>
      </c>
      <c r="BW59" s="90" t="str">
        <f t="shared" si="2558"/>
        <v>Data!$BI$1:$BI$5</v>
      </c>
      <c r="BX59" s="90" t="str">
        <f t="shared" si="2558"/>
        <v>Data!$BI$1:$BI$5</v>
      </c>
      <c r="BY59" s="90" t="str">
        <f t="shared" si="2558"/>
        <v>Data!$BI$1:$BI$5</v>
      </c>
      <c r="BZ59" s="90" t="str">
        <f t="shared" si="2558"/>
        <v>Data!$BI$1:$BI$5</v>
      </c>
      <c r="CA59" s="90" t="str">
        <f t="shared" si="2558"/>
        <v>Data!$BI$1:$BI$5</v>
      </c>
      <c r="CB59" s="90" t="str">
        <f t="shared" si="2558"/>
        <v>Data!$BI$1:$BI$5</v>
      </c>
      <c r="CC59" s="90"/>
      <c r="CD59" s="90"/>
      <c r="CE59" s="90"/>
      <c r="CF59" s="90"/>
      <c r="CG59" s="90"/>
      <c r="CH59" s="90"/>
      <c r="CI59" s="90"/>
      <c r="CJ59" s="90"/>
      <c r="CK59" s="90"/>
      <c r="CL59" s="90"/>
      <c r="CM59" s="90"/>
      <c r="CN59" s="90"/>
      <c r="CO59" s="93" t="str">
        <f>IFERROR(TIME(0,A59,B59),"")</f>
        <v/>
      </c>
      <c r="CP59" s="94">
        <f>IFERROR(TIME(0,C59,D59),"")</f>
        <v>0</v>
      </c>
      <c r="CQ59" s="94" t="str">
        <f t="shared" ref="CQ59" si="2559">IF(CP59&gt;$D$12,"X","")</f>
        <v/>
      </c>
      <c r="CR59" s="88" t="str">
        <f>IF(AND(F59="Hybrid - Thrust + 2 connections",OR(LEFT(J59,1)="T",LEFT(K59,1)="T",LEFT(L59,1)="T",LEFT(PB59,1)="T",LEFT(M59,1)="T",LEFT(N59,1)="T",LEFT(O59,1)="T",LEFT(P59,1)="T",LEFT(Q59,1)="T",LEFT(R59,1)="T",LEFT(S59,1)="T",LEFT(T59,1)="T",LEFT(U59,1)="T",LEFT(V59,1)="T",LEFT(W59,1)="T",LEFT(X59,1)="T",LEFT(AK59,1)="T",LEFT(AL59,1)="T",LEFT(AM59,1)="T")),IF(OR(LEN(J59)=2,LEN(K59)=2,LEN(L59)=2,LEN(M59)=2,LEN(N59)=2,LEN(O59)=2,LEN(P59)=2,LEN(Q59)=2,LEN(R59)=2,LEN(S59)=2,LEN(T59)=2,LEN(U59)=2,LEN(V59)=2,LEN(W59)=2,LEN(X59)=2,LEN(Y59)=2,LEN(Z59)=2,LEN(AK59)=2,LEN(AL59)=2,LEN(AM59)=2),"X",""),"")</f>
        <v/>
      </c>
      <c r="CS59" s="91"/>
      <c r="CT59" s="88" t="str">
        <f>IF(LEFT(F59,4)="Acro",IF(AND(N59&lt;&gt;"",M59=RIGHT(N59,2)),"X","OK"),"")</f>
        <v/>
      </c>
      <c r="CU59" s="90" t="str">
        <f t="shared" ref="CU59:DB59" si="2560">IFERROR(IF(AND(LEFT($F59,4)="Acro",INDEX(Requ_App,MATCH(BI59,Requ_Code,0))="No"),"X",""),"")</f>
        <v/>
      </c>
      <c r="CV59" s="90" t="str">
        <f t="shared" si="2560"/>
        <v/>
      </c>
      <c r="CW59" s="90" t="str">
        <f t="shared" si="2560"/>
        <v/>
      </c>
      <c r="CX59" s="90" t="str">
        <f t="shared" si="2560"/>
        <v/>
      </c>
      <c r="CY59" s="90" t="str">
        <f t="shared" si="2560"/>
        <v/>
      </c>
      <c r="CZ59" s="90" t="str">
        <f t="shared" si="2560"/>
        <v/>
      </c>
      <c r="DA59" s="90" t="str">
        <f t="shared" si="2560"/>
        <v/>
      </c>
      <c r="DB59" s="90" t="str">
        <f t="shared" si="2560"/>
        <v/>
      </c>
      <c r="DC59" s="90" t="str">
        <f>IFERROR(IF(AND(LEFT($F59,4)="Acro",INDEX(Requ_App,MATCH(BP59,Requ_Code,0))="No"),"X",""),"")</f>
        <v/>
      </c>
      <c r="DD59" s="88" t="str">
        <f t="shared" si="2030"/>
        <v/>
      </c>
      <c r="DE59" s="88" t="str">
        <f t="shared" si="2031"/>
        <v/>
      </c>
      <c r="DF59" s="88" t="str">
        <f t="shared" si="2032"/>
        <v/>
      </c>
      <c r="DG59" s="88" t="str">
        <f t="shared" si="2033"/>
        <v/>
      </c>
      <c r="DK59" s="88">
        <f>IF(AND(E60="A",OR(Q59="Grip",Q59="Conn",Q59="Catch")),"A1",IF(AND(E60="A",OR(Q59="Hula",Q59="RetSq",Q59="RetPa")),"A2",IF(AND(E60="B",OR(Q59="Twirl",Q59="RotF")),"B1",IF(AND(E60="B",OR(Q59="Moon",Q59="Mov")),"B2",IF(AND(E60="B",Q59="Hold"),"B3",IF(AND(E60="P",OR(Q59="Porp",Q59="Spich")),"P1",IF(AND(E60="P",OR(Q59="Diva",Q59="Ps1",Q59="Ps1t0.5",Q59="Ps1op",Q59="Ps1t0,5o",Q59="Ps1t1",Q59="CH+")),"P2",IF(AND(E60="P",OR(Q59="Spider",Q59="Climb")),"P3",IF(AND(E60="P",OR(Q59="Fall",Q59="FTurn")),"P4",IF(AND(E60="C",OR(Q59="Jump",Q59="Jump&gt;",Q59="On1Foot",Q59="1F&gt;1F")),"C1",IF(AND(E60="C",OR(Q59="Run",Q59="BRun")),"C2",1)))))))))))</f>
        <v>1</v>
      </c>
      <c r="DL59" s="88">
        <f>IF(AND(E60="A",OR(R59="Grip",R59="Conn",R59="Catch")),"A1",IF(AND(E60="A",OR(R59="Hula",R59="RetSq",R59="RetPa")),"A2",IF(AND(E60="B",OR(R59="Twirl",R59="RotF")),"B1",IF(AND(E60="B",OR(R59="Moon",R59="Mov")),"B3",IF(AND(E60="B",R59="Hold"),"B2",IF(AND(E60="P",OR(R59="Porp",R59="Spich")),"P1",IF(AND(E60="P",OR(R59="Diva",R59="Ps1",R59="Ps1t0.5",R59="Ps1op",R59="Ps1t0,5o",R59="Ps1t1",R59="CH+")),"P2",IF(AND(E60="P",OR(R59="Spider",R59="Climb")),"P3",IF(AND(E60="P",OR(R59="Fall",R59="FTurn")),"P4",IF(AND(E60="C",OR(R59="Jump",R59="Jump&gt;",R59="On1Foot",R59="1F&gt;1F")),"C1",IF(AND(E60="C",OR(R59="Run",R59="BRun")),"C2",2)))))))))))</f>
        <v>2</v>
      </c>
      <c r="DM59" s="88" t="str">
        <f>IF(AND(LEFT(F59,4)="Acro",Q59&lt;&gt;"",OR(Q59=R59,DK59=DL59)),IF(R59="C-Roll","","X"),IF(OR(AND(E60="A",Q59="Catch",R59&lt;&gt;"Dbl"),AND(E60="A",R59="Catch",Q59&lt;&gt;"Dbl")),"X",""))</f>
        <v/>
      </c>
      <c r="DN59" s="88" t="str">
        <f>IF(E60="PA",J59,"")</f>
        <v/>
      </c>
      <c r="DO59" s="88">
        <v>41</v>
      </c>
      <c r="DQ59" s="88" t="str">
        <f>IF(AND($E60="A",COUNTIF($DZ$19:$EA$68,DZ59)&gt;1),DZ59,"")</f>
        <v/>
      </c>
      <c r="DR59" s="88" t="str">
        <f>IF(AND($E60="A",COUNTIF($DZ$19:$EA$68,EA59)&gt;1),EA59,"")</f>
        <v/>
      </c>
      <c r="DS59" s="88" t="str">
        <f ca="1">IF(AND($E60="B",COUNTIF($J$19:$J$68,J59)&gt;1),J59,"")</f>
        <v/>
      </c>
      <c r="DT59" s="88" t="str">
        <f ca="1">IF(AND($E60="B",COUNTIF($K$19:$K$68,K59)&gt;1),K59,"")</f>
        <v/>
      </c>
      <c r="DU59" s="88" t="str">
        <f ca="1">IF(AND($E60="C",COUNTIF($J$19:$J$68,J59)&gt;1),J59,"")</f>
        <v/>
      </c>
      <c r="DV59" s="88" t="str">
        <f ca="1">IF(AND($E60="P",COUNTIF($J$19:$J$68,J59)&gt;1),J59,"")</f>
        <v/>
      </c>
      <c r="DW59" s="88" t="str">
        <f ca="1">IF(AND($E60="P",COUNTIF($K$19:$K$68,K59)&gt;1),K59,"")</f>
        <v/>
      </c>
      <c r="DX59" s="88" t="str">
        <f>IF(AND($E60="P",COUNTIF($DZ$19:$EA$68,DZ59)&gt;1),DZ59,"")</f>
        <v/>
      </c>
      <c r="DY59" s="88" t="str">
        <f>IF(AND($E60="P",COUNTIF($DZ$19:$EA$68,EA59)&gt;1),EA59,"")</f>
        <v/>
      </c>
      <c r="DZ59" s="88" t="str">
        <f>IFERROR(IF(OR(E60="A",E60="P"),M59,""),"")</f>
        <v/>
      </c>
      <c r="EA59" s="88" t="str">
        <f>IFERROR(IF(OR(E60="A",E60="P"),RIGHT(N59,2),""),"")</f>
        <v/>
      </c>
      <c r="EF59" s="88" t="str">
        <f>IF(AND($F$8="Open Team Acrobatic",LEFT(F59,4)="Acro"),E60,"")</f>
        <v/>
      </c>
      <c r="EG59" s="88" t="str">
        <f t="shared" ref="EG59" si="2561">IFERROR(IF(HLOOKUP(EF59,$DQ$12:$DT$13,2,FALSE)&gt;2,"X",""),"")</f>
        <v/>
      </c>
      <c r="EI59" s="88" t="str">
        <f>IF(OR(AND(F59="Hybrid - Thrust + 2 connections",EI60="T"),AND(F59="Hybrid - Free",EI60&lt;&gt;"")),"X","")</f>
        <v/>
      </c>
      <c r="EK59" s="88">
        <f t="shared" ref="EK59:FA59" si="2562">IFERROR(IF(AND($E60="H",J59&lt;&gt;""),IF(OR(LEFT(J59,1)="T",LEFT(J59,1)="S",LEFT(J59,1)="A",LEFT(J59,1)="F",LEFT(J59,1)="C"),LEFT(J59,1),"R"),EK$18),"")</f>
        <v>1</v>
      </c>
      <c r="EL59" s="88">
        <f t="shared" si="2562"/>
        <v>2</v>
      </c>
      <c r="EM59" s="88">
        <f t="shared" si="2562"/>
        <v>3</v>
      </c>
      <c r="EN59" s="88">
        <f t="shared" si="2562"/>
        <v>4</v>
      </c>
      <c r="EO59" s="88">
        <f t="shared" si="2562"/>
        <v>5</v>
      </c>
      <c r="EP59" s="88">
        <f t="shared" si="2562"/>
        <v>6</v>
      </c>
      <c r="EQ59" s="88">
        <f t="shared" si="2562"/>
        <v>7</v>
      </c>
      <c r="ER59" s="88">
        <f t="shared" si="2562"/>
        <v>8</v>
      </c>
      <c r="ES59" s="88">
        <f t="shared" si="2562"/>
        <v>9</v>
      </c>
      <c r="ET59" s="88">
        <f t="shared" si="2562"/>
        <v>10</v>
      </c>
      <c r="EU59" s="88">
        <f t="shared" si="2562"/>
        <v>11</v>
      </c>
      <c r="EV59" s="88">
        <f t="shared" si="2562"/>
        <v>12</v>
      </c>
      <c r="EW59" s="88">
        <f t="shared" si="2562"/>
        <v>13</v>
      </c>
      <c r="EX59" s="88">
        <f t="shared" si="2562"/>
        <v>14</v>
      </c>
      <c r="EY59" s="88">
        <f t="shared" si="2562"/>
        <v>15</v>
      </c>
      <c r="EZ59" s="88">
        <f t="shared" si="2562"/>
        <v>16</v>
      </c>
      <c r="FA59" s="88">
        <f t="shared" si="2562"/>
        <v>17</v>
      </c>
      <c r="FB59" s="88">
        <f t="shared" ref="FB59" si="2563">IFERROR(IF(AND($E60="H",AK59&lt;&gt;""),IF(OR(LEFT(AK59,1)="T",LEFT(AK59,1)="S",LEFT(AK59,1)="A",LEFT(AK59,1)="F",LEFT(AK59,1)="C"),LEFT(AK59,1),"R"),FB$18),"")</f>
        <v>18</v>
      </c>
      <c r="FC59" s="88">
        <f t="shared" ref="FC59" si="2564">IFERROR(IF(AND($E60="H",AL59&lt;&gt;""),IF(OR(LEFT(AL59,1)="T",LEFT(AL59,1)="S",LEFT(AL59,1)="A",LEFT(AL59,1)="F",LEFT(AL59,1)="C"),LEFT(AL59,1),"R"),FC$18),"")</f>
        <v>19</v>
      </c>
      <c r="FD59" s="88">
        <f t="shared" ref="FD59" si="2565">IFERROR(IF(AND($E60="H",AM59&lt;&gt;""),IF(OR(LEFT(AM59,1)="T",LEFT(AM59,1)="S",LEFT(AM59,1)="A",LEFT(AM59,1)="F",LEFT(AM59,1)="C"),LEFT(AM59,1),"R"),FD$18),"")</f>
        <v>20</v>
      </c>
      <c r="FE59" s="88"/>
      <c r="FF59" s="88"/>
      <c r="FG59" s="88"/>
      <c r="FH59" s="88"/>
      <c r="FI59" s="88"/>
      <c r="FJ59" s="88"/>
      <c r="FK59" s="88"/>
      <c r="FL59" s="88"/>
      <c r="FM59" s="88"/>
      <c r="FN59" s="88"/>
      <c r="FO59" s="88"/>
      <c r="FP59" s="88"/>
      <c r="FQ59" s="88"/>
      <c r="FR59" s="88">
        <f t="shared" ref="FR59:GH59" si="2566">IFERROR(IF(J59&lt;&gt;"",UPPER(J59),FR$18),FR$18)</f>
        <v>1</v>
      </c>
      <c r="FS59" s="88">
        <f t="shared" si="2566"/>
        <v>2</v>
      </c>
      <c r="FT59" s="88">
        <f t="shared" si="2566"/>
        <v>3</v>
      </c>
      <c r="FU59" s="88">
        <f t="shared" si="2566"/>
        <v>4</v>
      </c>
      <c r="FV59" s="88">
        <f t="shared" si="2566"/>
        <v>5</v>
      </c>
      <c r="FW59" s="88">
        <f t="shared" si="2566"/>
        <v>6</v>
      </c>
      <c r="FX59" s="88">
        <f t="shared" si="2566"/>
        <v>7</v>
      </c>
      <c r="FY59" s="88">
        <f t="shared" si="2566"/>
        <v>8</v>
      </c>
      <c r="FZ59" s="88">
        <f t="shared" si="2566"/>
        <v>9</v>
      </c>
      <c r="GA59" s="88">
        <f t="shared" si="2566"/>
        <v>10</v>
      </c>
      <c r="GB59" s="88">
        <f t="shared" si="2566"/>
        <v>11</v>
      </c>
      <c r="GC59" s="88">
        <f t="shared" si="2566"/>
        <v>12</v>
      </c>
      <c r="GD59" s="88">
        <f t="shared" si="2566"/>
        <v>13</v>
      </c>
      <c r="GE59" s="88">
        <f t="shared" si="2566"/>
        <v>14</v>
      </c>
      <c r="GF59" s="88">
        <f t="shared" si="2566"/>
        <v>15</v>
      </c>
      <c r="GG59" s="88">
        <f t="shared" si="2566"/>
        <v>16</v>
      </c>
      <c r="GH59" s="88">
        <f t="shared" si="2566"/>
        <v>17</v>
      </c>
      <c r="GI59" s="88">
        <f>IFERROR(IF(AK59&lt;&gt;"",UPPER(AK59),GI$18),GI$18)</f>
        <v>18</v>
      </c>
      <c r="GJ59" s="88">
        <f>IFERROR(IF(AL59&lt;&gt;"",UPPER(AL59),GJ$18),GJ$18)</f>
        <v>19</v>
      </c>
      <c r="GK59" s="88">
        <f>IFERROR(IF(AM59&lt;&gt;"",UPPER(AM59),GK$18),GK$18)</f>
        <v>20</v>
      </c>
      <c r="GL59" s="88"/>
      <c r="GM59" s="88"/>
      <c r="GN59" s="88"/>
      <c r="GO59" s="88"/>
      <c r="GP59" s="88"/>
      <c r="GQ59" s="88"/>
      <c r="GR59" s="88"/>
      <c r="GS59" s="88"/>
      <c r="GT59" s="88"/>
      <c r="GU59" s="88"/>
      <c r="GV59" s="88"/>
      <c r="GW59" s="88">
        <f t="shared" ref="GW59:HB59" si="2567">COUNTIF($EK59:$FD59,GW$18)</f>
        <v>0</v>
      </c>
      <c r="GX59" s="88">
        <f t="shared" si="2567"/>
        <v>0</v>
      </c>
      <c r="GY59" s="88">
        <f t="shared" si="2567"/>
        <v>0</v>
      </c>
      <c r="GZ59" s="88">
        <f t="shared" si="2567"/>
        <v>0</v>
      </c>
      <c r="HA59" s="88">
        <f t="shared" si="2567"/>
        <v>0</v>
      </c>
      <c r="HB59" s="88">
        <f t="shared" si="2567"/>
        <v>0</v>
      </c>
      <c r="HC59" s="88"/>
      <c r="HD59" s="88" t="str">
        <f t="shared" ref="HD59" si="2568">IF(AND($F59="Hybrid - Thrust + 2 connections",HD60=0,LEFT($J59,1)="C",LEFT($K59,1)="C",LEFT($L59,1)="C"),"X","")</f>
        <v/>
      </c>
      <c r="HE59" s="88"/>
      <c r="HF59" s="91"/>
      <c r="HG59" s="100"/>
      <c r="HH59" s="100"/>
      <c r="HI59" s="91" t="str">
        <f>IF(E60=3,_xlfn.NUMBERVALUE(LEFT(J59,1)),"")</f>
        <v/>
      </c>
    </row>
    <row r="60" spans="1:222" ht="15" hidden="1" customHeight="1" x14ac:dyDescent="0.35">
      <c r="A60" s="28"/>
      <c r="B60" s="29"/>
      <c r="C60" s="29"/>
      <c r="D60" s="29"/>
      <c r="E60" s="17" t="str">
        <f t="shared" ref="E60" si="2569">IF(F59="Acrobatic - Pair","PA",IF(F59="Acrobatic Airborn","A",IF(F59="Acrobatic Balance","B",IF(F59="Acrobatic Combined","C",IF(F59="Acrobatic Platform","P",IF(F59="Technical Required Element",3,IF(LEFT(F59,4)="Hybr","H","")))))))</f>
        <v/>
      </c>
      <c r="F60" s="17" t="str">
        <f>IF(AND(F59="Hybrid - Thrust + 2 connections",CR59="X"),"Hybrid - Thrust",IF(OR(E60="A",E60="B",E60="C",E60="P"),"Acrobatic",""))</f>
        <v/>
      </c>
      <c r="G60" s="31"/>
      <c r="H60" s="182" t="str">
        <f t="shared" ref="H60" si="2570">IF(E60="PA",IF(OR(LEFT(J59,1)="L",LEFT(J59,1)="S"),"A-Pair-Lift",IF(OR(LEFT(J59,1)="W",LEFT(J59,1)="T"),"A-Pair-Throw",IF(LEFT(J59,1)="J","A-Pair-Jump","A-Pair"))),IF(OR(E60="A",E60="B",E60="C",E60="P"),CONCATENATE("Acro-",E60),""))</f>
        <v/>
      </c>
      <c r="I60" s="176" t="e">
        <f t="shared" ref="I60" si="2571">IF(OR(F59="Hybrid - min 4 swimmers (no DD)",LEFT(F59,5)="Trans"),0,INDEX($BY$3:$BY$9,MATCH(E60,$BX$3:$BX$9,0)))</f>
        <v>#N/A</v>
      </c>
      <c r="J60" s="171">
        <f t="shared" ref="J60:Z60" ca="1" si="2572">IFERROR(IF($H59="No DD",0,IF(OR(ISBLANK(J59),J59="N/A"),0,INDEX(INDIRECT(BI60),MATCH(J59,INDIRECT(BI59),0)))),0)</f>
        <v>0</v>
      </c>
      <c r="K60" s="171">
        <f t="shared" ca="1" si="2572"/>
        <v>0</v>
      </c>
      <c r="L60" s="171">
        <f t="shared" ca="1" si="2572"/>
        <v>0</v>
      </c>
      <c r="M60" s="171">
        <f t="shared" ca="1" si="2572"/>
        <v>0</v>
      </c>
      <c r="N60" s="171">
        <f t="shared" ca="1" si="2572"/>
        <v>0</v>
      </c>
      <c r="O60" s="171">
        <f t="shared" ca="1" si="2572"/>
        <v>0</v>
      </c>
      <c r="P60" s="171">
        <f t="shared" ca="1" si="2572"/>
        <v>0</v>
      </c>
      <c r="Q60" s="171">
        <f t="shared" ca="1" si="2572"/>
        <v>0</v>
      </c>
      <c r="R60" s="171">
        <f t="shared" ca="1" si="2572"/>
        <v>0</v>
      </c>
      <c r="S60" s="171">
        <f t="shared" ca="1" si="2572"/>
        <v>0</v>
      </c>
      <c r="T60" s="171">
        <f t="shared" ca="1" si="2572"/>
        <v>0</v>
      </c>
      <c r="U60" s="171">
        <f t="shared" ca="1" si="2572"/>
        <v>0</v>
      </c>
      <c r="V60" s="171">
        <f t="shared" ca="1" si="2572"/>
        <v>0</v>
      </c>
      <c r="W60" s="171">
        <f t="shared" ca="1" si="2572"/>
        <v>0</v>
      </c>
      <c r="X60" s="171">
        <f t="shared" ca="1" si="2572"/>
        <v>0</v>
      </c>
      <c r="Y60" s="171">
        <f t="shared" ca="1" si="2572"/>
        <v>0</v>
      </c>
      <c r="Z60" s="171">
        <f t="shared" ca="1" si="2572"/>
        <v>0</v>
      </c>
      <c r="AA60" s="171">
        <f ca="1">IFERROR(IF($H59="No DD",0,IF(OR(ISBLANK(AA59),AA59="N/A"),0,INDEX(INDIRECT(BX60),MATCH(AA59,INDIRECT(BX59),0)))),0)</f>
        <v>0</v>
      </c>
      <c r="AB60" s="171">
        <f ca="1">IFERROR(IF($H59="No DD",0,IF(OR(ISBLANK(AB59),AB59="N/A"),0,INDEX(INDIRECT(BY60),MATCH(AB59,INDIRECT(BY59),0)))),0)</f>
        <v>0</v>
      </c>
      <c r="AC60" s="171">
        <f ca="1">IFERROR(IF($H59="No DD",0,IF(OR(ISBLANK(AC59),AC59="N/A"),0,INDEX(INDIRECT(BX60),MATCH(AC59,INDIRECT(BX59),0)))),0)</f>
        <v>0</v>
      </c>
      <c r="AD60" s="171">
        <f ca="1">IFERROR(IF($H59="No DD",0,IF(OR(ISBLANK(AD59),AD59="N/A"),0,INDEX(INDIRECT(BY60),MATCH(AD59,INDIRECT(BY59),0)))),0)</f>
        <v>0</v>
      </c>
      <c r="AE60" s="171">
        <f ca="1">IFERROR(IF($H59="No DD",0,IF(OR(ISBLANK(AE59),AE59="N/A"),0,INDEX(INDIRECT(BX60),MATCH(AE59,INDIRECT(BX59),0)))),0)</f>
        <v>0</v>
      </c>
      <c r="AF60" s="171">
        <f ca="1">IFERROR(IF($H59="No DD",0,IF(OR(ISBLANK(AF59),AF59="N/A"),0,INDEX(INDIRECT(BY60),MATCH(AF59,INDIRECT(BY59),0)))),0)</f>
        <v>0</v>
      </c>
      <c r="AG60" s="171">
        <f ca="1">IFERROR(IF($H59="No DD",0,IF(OR(ISBLANK(AG59),AG59="N/A"),0,INDEX(INDIRECT(BX60),MATCH(AG59,INDIRECT(BX59),0)))),0)</f>
        <v>0</v>
      </c>
      <c r="AH60" s="171">
        <f ca="1">IFERROR(IF($H59="No DD",0,IF(OR(ISBLANK(AH59),AH59="N/A"),0,INDEX(INDIRECT(BY60),MATCH(AH59,INDIRECT(BY59),0)))),0)</f>
        <v>0</v>
      </c>
      <c r="AI60" s="171">
        <f t="shared" ref="AI60" ca="1" si="2573">IFERROR(IF($H59="No DD",0,IF(OR(ISBLANK(AI59),AI59="N/A"),0,INDEX(INDIRECT(BX60),MATCH(AI59,INDIRECT(BX59),0)))),0)</f>
        <v>0</v>
      </c>
      <c r="AJ60" s="171">
        <f t="shared" ref="AJ60" ca="1" si="2574">IFERROR(IF($H59="No DD",0,IF(OR(ISBLANK(AJ59),AJ59="N/A"),0,INDEX(INDIRECT(BY60),MATCH(AJ59,INDIRECT(BY59),0)))),0)</f>
        <v>0</v>
      </c>
      <c r="AK60" s="171">
        <f t="shared" ref="AK60" ca="1" si="2575">IFERROR(IF($H59="No DD",0,IF(OR(ISBLANK(AK59),AK59="N/A"),0,INDEX(INDIRECT(BZ60),MATCH(AK59,INDIRECT(BZ59),0)))),0)</f>
        <v>0</v>
      </c>
      <c r="AL60" s="171">
        <f t="shared" ref="AL60" ca="1" si="2576">IFERROR(IF($H59="No DD",0,IF(OR(ISBLANK(AL59),AL59="N/A"),0,INDEX(INDIRECT(CA60),MATCH(AL59,INDIRECT(CA59),0)))),0)</f>
        <v>0</v>
      </c>
      <c r="AM60" s="171">
        <f t="shared" ref="AM60" ca="1" si="2577">IFERROR(IF($H59="No DD",0,IF(OR(ISBLANK(AM59),AM59="N/A"),0,INDEX(INDIRECT(CB60),MATCH(AM59,INDIRECT(CB59),0)))),0)</f>
        <v>0</v>
      </c>
      <c r="AN60" s="172" t="str">
        <f>IFERROR(IF(E60="H",INDEX(HybridBonus_Value,MATCH(AN59,HybridBonus_Code,0)),""),"")</f>
        <v/>
      </c>
      <c r="AO60" s="276" t="str">
        <f>IFERROR(IF(J59&lt;&gt;"",SUM(I60:AN60),""),"")</f>
        <v/>
      </c>
      <c r="AP60" s="62"/>
      <c r="AQ60" s="62"/>
      <c r="AR60" s="101"/>
      <c r="AS60" s="101"/>
      <c r="AT60" s="101"/>
      <c r="AU60" s="101"/>
      <c r="AV60" s="101"/>
      <c r="AW60" s="101"/>
      <c r="AX60" s="101"/>
      <c r="AY60" s="101"/>
      <c r="AZ60" s="101"/>
      <c r="BA60" s="101"/>
      <c r="BB60" s="101"/>
      <c r="BC60" s="101"/>
      <c r="BD60" s="101"/>
      <c r="BE60" s="101"/>
      <c r="BF60" s="101"/>
      <c r="BG60" s="90"/>
      <c r="BH60" s="101"/>
      <c r="BI60" s="91" t="str">
        <f t="shared" ref="BI60" si="2578">IF($E60="H","HybridDD_Value",IF($E60=3,"TreDD_Value",IF($E60="PA","AcroPair_Value",IF(LEFT($F59,4)="Acro",CONCATENATE(BI$16,$E60,"_Value"),""))))</f>
        <v/>
      </c>
      <c r="BJ60" s="91" t="str">
        <f t="shared" ref="BJ60:BK60" si="2579">IF($E60="H","HybridDD_Value",IF($E60=3,"",IF(LEFT($F59,4)="Acro",CONCATENATE(BJ$16,$E60,"_Value"),IF($E60="PA","",""))))</f>
        <v/>
      </c>
      <c r="BK60" s="91" t="str">
        <f t="shared" si="2579"/>
        <v/>
      </c>
      <c r="BL60" s="91" t="str">
        <f t="shared" ref="BL60:BQ60" si="2580">IF($E60="H","HybridDD_Value",IF($E60=3,"",IF(LEFT($F59,4)="Acro",CONCATENATE(BL$16,$E60,"_Value"),IF($E60="PA","",""))))</f>
        <v/>
      </c>
      <c r="BM60" s="91" t="str">
        <f t="shared" si="2580"/>
        <v/>
      </c>
      <c r="BN60" s="91" t="str">
        <f t="shared" si="2580"/>
        <v/>
      </c>
      <c r="BO60" s="91" t="str">
        <f t="shared" si="2580"/>
        <v/>
      </c>
      <c r="BP60" s="91" t="str">
        <f t="shared" si="2580"/>
        <v/>
      </c>
      <c r="BQ60" s="91" t="str">
        <f t="shared" si="2580"/>
        <v/>
      </c>
      <c r="BR60" s="90" t="str">
        <f t="shared" ref="BR60" si="2581">IF($E60="H","HybridDD_Value","Data!$BI$1:$BI$5")</f>
        <v>Data!$BI$1:$BI$5</v>
      </c>
      <c r="BS60" s="90" t="str">
        <f t="shared" si="2558"/>
        <v>Data!$BI$1:$BI$5</v>
      </c>
      <c r="BT60" s="90" t="str">
        <f t="shared" si="2558"/>
        <v>Data!$BI$1:$BI$5</v>
      </c>
      <c r="BU60" s="90" t="str">
        <f t="shared" si="2558"/>
        <v>Data!$BI$1:$BI$5</v>
      </c>
      <c r="BV60" s="90" t="str">
        <f t="shared" si="2558"/>
        <v>Data!$BI$1:$BI$5</v>
      </c>
      <c r="BW60" s="90" t="str">
        <f t="shared" si="2558"/>
        <v>Data!$BI$1:$BI$5</v>
      </c>
      <c r="BX60" s="90" t="str">
        <f t="shared" si="2558"/>
        <v>Data!$BI$1:$BI$5</v>
      </c>
      <c r="BY60" s="90" t="str">
        <f t="shared" si="2558"/>
        <v>Data!$BI$1:$BI$5</v>
      </c>
      <c r="BZ60" s="90" t="str">
        <f t="shared" si="2558"/>
        <v>Data!$BI$1:$BI$5</v>
      </c>
      <c r="CA60" s="90" t="str">
        <f t="shared" si="2558"/>
        <v>Data!$BI$1:$BI$5</v>
      </c>
      <c r="CB60" s="90" t="str">
        <f t="shared" si="2558"/>
        <v>Data!$BI$1:$BI$5</v>
      </c>
      <c r="CC60" s="90"/>
      <c r="CD60" s="90"/>
      <c r="CE60" s="90"/>
      <c r="CF60" s="90"/>
      <c r="CG60" s="90"/>
      <c r="CH60" s="90"/>
      <c r="CI60" s="90"/>
      <c r="CJ60" s="90"/>
      <c r="CK60" s="90"/>
      <c r="CL60" s="90"/>
      <c r="CM60" s="101"/>
      <c r="CN60" s="101"/>
      <c r="CO60" s="102" t="str">
        <f>IFERROR(IF(AND($BV$6="T",$BV$8="T",LEFT(F59,4)="Acro",AO60&gt;3),"X",IF($N$7="X",IF(AND(E60="C",AO60&gt;$CN$6),"X",IF(AND(E60="A",AO60&gt;$CN$4),"X",IF(AND(E60="B",AO60&gt;$CN$5),"X",IF(AND(E60="P",AO60&gt;$CN$7),"X","")))),"")),"")</f>
        <v/>
      </c>
      <c r="CP60" s="93"/>
      <c r="CQ60" s="91"/>
      <c r="CS60" s="91"/>
      <c r="CT60" s="91"/>
      <c r="CU60" s="91"/>
      <c r="CV60" s="91"/>
      <c r="CW60" s="91"/>
      <c r="CX60" s="91"/>
      <c r="CY60" s="91"/>
      <c r="CZ60" s="91"/>
      <c r="DD60" s="88" t="str">
        <f t="shared" si="2030"/>
        <v/>
      </c>
      <c r="DE60" s="88" t="str">
        <f t="shared" si="2031"/>
        <v/>
      </c>
      <c r="DF60" s="88" t="str">
        <f t="shared" si="2032"/>
        <v/>
      </c>
      <c r="DG60" s="88" t="str">
        <f t="shared" si="2033"/>
        <v/>
      </c>
      <c r="DO60" s="88">
        <v>42</v>
      </c>
      <c r="EI60" s="88" t="str" cm="1">
        <f t="array" ref="EI60">IFERROR(INDEX(EK60:FD60,MATCH(TRUE,INDEX((EK60:FD60&lt;&gt;""),),0)),"")</f>
        <v/>
      </c>
      <c r="EK60" s="88" t="str">
        <f t="shared" ref="EK60:FD60" si="2582">IF(F59="Hybrid - Thrust + 2 connections",IF(COUNTIF($EK59:$FD59,EK59)&gt;1,EK59,""),IF(COUNTIF($EK59:$FD59,EK59)&gt;5,EK59,""))</f>
        <v/>
      </c>
      <c r="EL60" s="88" t="str">
        <f t="shared" si="2582"/>
        <v/>
      </c>
      <c r="EM60" s="88" t="str">
        <f t="shared" si="2582"/>
        <v/>
      </c>
      <c r="EN60" s="88" t="str">
        <f t="shared" si="2582"/>
        <v/>
      </c>
      <c r="EO60" s="88" t="str">
        <f t="shared" si="2582"/>
        <v/>
      </c>
      <c r="EP60" s="88" t="str">
        <f t="shared" si="2582"/>
        <v/>
      </c>
      <c r="EQ60" s="88" t="str">
        <f t="shared" si="2582"/>
        <v/>
      </c>
      <c r="ER60" s="88" t="str">
        <f t="shared" si="2582"/>
        <v/>
      </c>
      <c r="ES60" s="88" t="str">
        <f t="shared" si="2582"/>
        <v/>
      </c>
      <c r="ET60" s="88" t="str">
        <f t="shared" si="2582"/>
        <v/>
      </c>
      <c r="EU60" s="88" t="str">
        <f t="shared" si="2582"/>
        <v/>
      </c>
      <c r="EV60" s="88" t="str">
        <f t="shared" si="2582"/>
        <v/>
      </c>
      <c r="EW60" s="88" t="str">
        <f t="shared" si="2582"/>
        <v/>
      </c>
      <c r="EX60" s="88" t="str">
        <f t="shared" si="2582"/>
        <v/>
      </c>
      <c r="EY60" s="88" t="str">
        <f t="shared" si="2582"/>
        <v/>
      </c>
      <c r="EZ60" s="88" t="str">
        <f t="shared" si="2582"/>
        <v/>
      </c>
      <c r="FA60" s="88" t="str">
        <f t="shared" si="2582"/>
        <v/>
      </c>
      <c r="FB60" s="88" t="str">
        <f t="shared" si="2582"/>
        <v/>
      </c>
      <c r="FC60" s="88" t="str">
        <f t="shared" si="2582"/>
        <v/>
      </c>
      <c r="FD60" s="88" t="str">
        <f t="shared" si="2582"/>
        <v/>
      </c>
      <c r="FE60" s="88"/>
      <c r="FF60" s="88"/>
      <c r="FG60" s="88"/>
      <c r="FH60" s="88"/>
      <c r="FI60" s="88"/>
      <c r="FJ60" s="88"/>
      <c r="FK60" s="88"/>
      <c r="FL60" s="88"/>
      <c r="FM60" s="88"/>
      <c r="FN60" s="88"/>
      <c r="FO60" s="88"/>
      <c r="FP60" s="88"/>
      <c r="FQ60" s="88" t="str" cm="1">
        <f t="array" ref="FQ60">IFERROR(INDEX(FR60:GK60,MATCH(TRUE,INDEX((FR60:GK60&lt;&gt;""),),0)),"")</f>
        <v/>
      </c>
      <c r="FR60" s="88" t="str">
        <f t="shared" ref="FR60:GK60" si="2583">IF(COUNTIF($FR59:$GK59,FR59)&gt;3,FR59,"")</f>
        <v/>
      </c>
      <c r="FS60" s="88" t="str">
        <f t="shared" si="2583"/>
        <v/>
      </c>
      <c r="FT60" s="88" t="str">
        <f t="shared" si="2583"/>
        <v/>
      </c>
      <c r="FU60" s="88" t="str">
        <f t="shared" si="2583"/>
        <v/>
      </c>
      <c r="FV60" s="88" t="str">
        <f t="shared" si="2583"/>
        <v/>
      </c>
      <c r="FW60" s="88" t="str">
        <f t="shared" si="2583"/>
        <v/>
      </c>
      <c r="FX60" s="88" t="str">
        <f t="shared" si="2583"/>
        <v/>
      </c>
      <c r="FY60" s="88" t="str">
        <f t="shared" si="2583"/>
        <v/>
      </c>
      <c r="FZ60" s="88" t="str">
        <f t="shared" si="2583"/>
        <v/>
      </c>
      <c r="GA60" s="88" t="str">
        <f t="shared" si="2583"/>
        <v/>
      </c>
      <c r="GB60" s="88" t="str">
        <f t="shared" si="2583"/>
        <v/>
      </c>
      <c r="GC60" s="88" t="str">
        <f t="shared" si="2583"/>
        <v/>
      </c>
      <c r="GD60" s="88" t="str">
        <f t="shared" si="2583"/>
        <v/>
      </c>
      <c r="GE60" s="88" t="str">
        <f t="shared" si="2583"/>
        <v/>
      </c>
      <c r="GF60" s="88" t="str">
        <f t="shared" si="2583"/>
        <v/>
      </c>
      <c r="GG60" s="88" t="str">
        <f t="shared" si="2583"/>
        <v/>
      </c>
      <c r="GH60" s="88" t="str">
        <f t="shared" si="2583"/>
        <v/>
      </c>
      <c r="GI60" s="88" t="str">
        <f t="shared" si="2583"/>
        <v/>
      </c>
      <c r="GJ60" s="88" t="str">
        <f t="shared" si="2583"/>
        <v/>
      </c>
      <c r="GK60" s="88" t="str">
        <f t="shared" si="2583"/>
        <v/>
      </c>
      <c r="GL60" s="88"/>
      <c r="GM60" s="88"/>
      <c r="GN60" s="88"/>
      <c r="GO60" s="88"/>
      <c r="GP60" s="88"/>
      <c r="GQ60" s="88"/>
      <c r="GR60" s="88"/>
      <c r="GS60" s="88"/>
      <c r="GT60" s="88"/>
      <c r="GU60" s="88"/>
      <c r="GV60" s="88"/>
      <c r="GW60" s="88"/>
      <c r="GX60" s="88"/>
      <c r="GY60" s="88"/>
      <c r="GZ60" s="88"/>
      <c r="HA60" s="88"/>
      <c r="HB60" s="88"/>
      <c r="HC60" s="88"/>
      <c r="HD60" s="88" t="str">
        <f>IF($F59="Hybrid - Thrust + 2 connections",COUNTBLANK(J59:L59),"")</f>
        <v/>
      </c>
      <c r="HE60" s="88"/>
      <c r="HF60" s="91"/>
      <c r="HG60" s="91"/>
      <c r="HH60" s="91"/>
      <c r="HI60" s="91"/>
    </row>
    <row r="61" spans="1:222" ht="15" hidden="1" customHeight="1" x14ac:dyDescent="0.35">
      <c r="A61" s="28" t="str">
        <f>IF(AND(E59="",A59&lt;&gt;""),IF(CP59=$CP$18,"",IF(C59&lt;&gt;"",IF(D59=59,MINUTE(CP59)+1,MINUTE(CP59)),"")),"")</f>
        <v/>
      </c>
      <c r="B61" s="29" t="str">
        <f>IF(AND(E59="",B59&lt;&gt;""),IF(CP59=$CP$18,"",IF(C59&lt;&gt;"",IF(D59=59,0,SECOND(CP59)+1),"")),"")</f>
        <v/>
      </c>
      <c r="C61" s="39"/>
      <c r="D61" s="39"/>
      <c r="E61" s="9"/>
      <c r="F61" s="40"/>
      <c r="G61" s="31" t="str">
        <f>IF(F61&lt;&gt;"",IF(OR(F61="Transition",F61="Transition - Surface Connection"),0,MAX($G$19:G60)+1),"")</f>
        <v/>
      </c>
      <c r="H61" s="43" t="str">
        <f t="shared" ref="H61" si="2584">IFERROR(IF(E62="3","",IF(OR(F61="Hybrid - min 4 swimmers (no DD)",LEFT(F61,5)="Trans"),"No DD",CONCATENATE("BM = ",I62))),"")</f>
        <v/>
      </c>
      <c r="I61" s="44"/>
      <c r="J61" s="109"/>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58"/>
      <c r="AO61" s="32"/>
      <c r="AP61" s="61"/>
      <c r="AQ61" s="61"/>
      <c r="AR61" s="90"/>
      <c r="AS61" s="90"/>
      <c r="AT61" s="90"/>
      <c r="AU61" s="90"/>
      <c r="AV61" s="90"/>
      <c r="AW61" s="90"/>
      <c r="AX61" s="90"/>
      <c r="AY61" s="90"/>
      <c r="AZ61" s="90"/>
      <c r="BA61" s="90"/>
      <c r="BB61" s="90"/>
      <c r="BC61" s="90"/>
      <c r="BD61" s="90"/>
      <c r="BE61" s="90"/>
      <c r="BF61" s="90"/>
      <c r="BG61" s="90" t="str">
        <f>IFERROR(IF(F61&lt;&gt;"",INDEX(Parts_Active,MATCH(F61,Parts_Active,0)),""),"No")</f>
        <v/>
      </c>
      <c r="BH61" s="90"/>
      <c r="BI61" s="90" t="str">
        <f t="shared" ref="BI61" si="2585">IF($E62="H",IF($F61="Hybrid - Thrust + 2 connections","Hybrid_Mix_Req","HybridDD_Code"),IF($E62=3,"TreDD_Code",IF($E62="PA","AcroPair_Code",IF(LEFT($F61,4)="Acro",CONCATENATE(BI$16,$E62,"_Code"),"Data!$BI$1:$BI$5"))))</f>
        <v>Data!$BI$1:$BI$5</v>
      </c>
      <c r="BJ61" s="90" t="str">
        <f t="shared" ref="BJ61" si="2586">IF($E62="H",IF($F61="Hybrid - Thrust + 2 connections","Hybrid_Mix_Req","HybridDD_Code"),IF($E62=3,"TreDD_Code",IF($E62="PA","AcroPair_Code",IF(LEFT($F61,4)="Acro",CONCATENATE(BJ$16,$E62,"_Code"),"Data!$BI$1:$BI$5"))))</f>
        <v>Data!$BI$1:$BI$5</v>
      </c>
      <c r="BK61" s="90" t="str">
        <f t="shared" ref="BK61" si="2587">IF($E62="H",IF($F61="Hybrid - Thrust + 2 connections","Hybrid_Mix_Req","HybridDD_Code"),IF($E62=3,"TreDD_Code",IF($E62="PA","AcroPair_Code",IF(LEFT($F61,4)="Acro",CONCATENATE(BK$16,$E62,"_Code"),"Data!$BI$1:$BI$5"))))</f>
        <v>Data!$BI$1:$BI$5</v>
      </c>
      <c r="BL61" s="90" t="str">
        <f t="shared" ref="BL61" si="2588">IF($E62="H",IF($F61="Hybrid - Thrust + 2 connections","Data!$BI$1:$BI$5","HybridDD_Code"),IF($E62=3,"Data!$BI$1:$BI$5",IF(LEFT($F61,4)="Acro",CONCATENATE(BL$16,$E62,"_Code"),IF($E62="PA","","Data!$BI$1:$BI$5"))))</f>
        <v>Data!$BI$1:$BI$5</v>
      </c>
      <c r="BM61" s="90" t="str">
        <f t="shared" ref="BM61" si="2589">IF($E62="H",IF($F61="Hybrid - Thrust + 2 connections","Data!$BI$1:$BI$5","HybridDD_Code"),IF($E62=3,"Data!$BI$1:$BI$5",IF(LEFT($F61,4)="Acro",CONCATENATE(BM$16,$E62,"_Code"),IF($E62="PA","","Data!$BI$1:$BI$5"))))</f>
        <v>Data!$BI$1:$BI$5</v>
      </c>
      <c r="BN61" s="90" t="str">
        <f t="shared" ref="BN61" si="2590">IF($E62="H",IF($F61="Hybrid - Thrust + 2 connections","Data!$BI$1:$BI$5","HybridDD_Code"),IF($E62=3,"Data!$BI$1:$BI$5",IF(LEFT($F61,4)="Acro",CONCATENATE(BN$16,$E62,"_Code"),IF($E62="PA","","Data!$BI$1:$BI$5"))))</f>
        <v>Data!$BI$1:$BI$5</v>
      </c>
      <c r="BO61" s="90" t="str">
        <f t="shared" ref="BO61" si="2591">IF($E62="H",IF($F61="Hybrid - Thrust + 2 connections","Data!$BI$1:$BI$5","HybridDD_Code"),IF($E62=3,"Data!$BI$1:$BI$5",IF(LEFT($F61,4)="Acro",CONCATENATE(BO$16,$E62,"_Code"),IF($E62="PA","","Data!$BI$1:$BI$5"))))</f>
        <v>Data!$BI$1:$BI$5</v>
      </c>
      <c r="BP61" s="90" t="str">
        <f t="shared" ref="BP61" si="2592">IF($E62="H",IF($F61="Hybrid - Thrust + 2 connections","Data!$BI$1:$BI$5","HybridDD_Code"),IF($E62=3,"Data!$BI$1:$BI$5",IF(LEFT($F61,4)="Acro",CONCATENATE(BP$16,$E62,"_Code"),IF($E62="PA","","Data!$BI$1:$BI$5"))))</f>
        <v>Data!$BI$1:$BI$5</v>
      </c>
      <c r="BQ61" s="90" t="str">
        <f t="shared" ref="BQ61" si="2593">IF($E62="H",IF($F61="Hybrid - Thrust + 2 connections","Data!$BI$1:$BI$5","HybridDD_Code"),IF($E62=3,"Data!$BI$1:$BI$5",IF(LEFT($F61,4)="Acro",CONCATENATE(BQ$16,$E62,"_Code"),IF($E62="PA","","Data!$BI$1:$BI$5"))))</f>
        <v>Data!$BI$1:$BI$5</v>
      </c>
      <c r="BR61" s="90" t="str">
        <f t="shared" ref="BR61" si="2594">IF($E62="H",IF($F61="Hybrid - Thrust + 2 connections","Data!$BI$1:$BI$5","HybridDD_Code"),"Data!$BI$1:$BI$5")</f>
        <v>Data!$BI$1:$BI$5</v>
      </c>
      <c r="BS61" s="90" t="str">
        <f t="shared" si="2558"/>
        <v>Data!$BI$1:$BI$5</v>
      </c>
      <c r="BT61" s="90" t="str">
        <f t="shared" si="2558"/>
        <v>Data!$BI$1:$BI$5</v>
      </c>
      <c r="BU61" s="90" t="str">
        <f t="shared" si="2558"/>
        <v>Data!$BI$1:$BI$5</v>
      </c>
      <c r="BV61" s="90" t="str">
        <f t="shared" si="2558"/>
        <v>Data!$BI$1:$BI$5</v>
      </c>
      <c r="BW61" s="90" t="str">
        <f t="shared" si="2558"/>
        <v>Data!$BI$1:$BI$5</v>
      </c>
      <c r="BX61" s="90" t="str">
        <f t="shared" si="2558"/>
        <v>Data!$BI$1:$BI$5</v>
      </c>
      <c r="BY61" s="90" t="str">
        <f t="shared" si="2558"/>
        <v>Data!$BI$1:$BI$5</v>
      </c>
      <c r="BZ61" s="90" t="str">
        <f t="shared" si="2558"/>
        <v>Data!$BI$1:$BI$5</v>
      </c>
      <c r="CA61" s="90" t="str">
        <f t="shared" si="2558"/>
        <v>Data!$BI$1:$BI$5</v>
      </c>
      <c r="CB61" s="90" t="str">
        <f t="shared" si="2558"/>
        <v>Data!$BI$1:$BI$5</v>
      </c>
      <c r="CC61" s="90"/>
      <c r="CD61" s="90"/>
      <c r="CE61" s="90"/>
      <c r="CF61" s="90"/>
      <c r="CG61" s="90"/>
      <c r="CH61" s="90"/>
      <c r="CI61" s="90"/>
      <c r="CJ61" s="90"/>
      <c r="CK61" s="90"/>
      <c r="CL61" s="90"/>
      <c r="CM61" s="90"/>
      <c r="CN61" s="90"/>
      <c r="CO61" s="93" t="str">
        <f>IFERROR(TIME(0,A61,B61),"")</f>
        <v/>
      </c>
      <c r="CP61" s="94">
        <f>IFERROR(TIME(0,C61,D61),"")</f>
        <v>0</v>
      </c>
      <c r="CQ61" s="94" t="str">
        <f t="shared" ref="CQ61" si="2595">IF(CP61&gt;$D$12,"X","")</f>
        <v/>
      </c>
      <c r="CR61" s="88" t="str">
        <f>IF(AND(F61="Hybrid - Thrust + 2 connections",OR(LEFT(J61,1)="T",LEFT(K61,1)="T",LEFT(L61,1)="T",LEFT(PB61,1)="T",LEFT(M61,1)="T",LEFT(N61,1)="T",LEFT(O61,1)="T",LEFT(P61,1)="T",LEFT(Q61,1)="T",LEFT(R61,1)="T",LEFT(S61,1)="T",LEFT(T61,1)="T",LEFT(U61,1)="T",LEFT(V61,1)="T",LEFT(W61,1)="T",LEFT(X61,1)="T",LEFT(AK61,1)="T",LEFT(AL61,1)="T",LEFT(AM61,1)="T")),IF(OR(LEN(J61)=2,LEN(K61)=2,LEN(L61)=2,LEN(M61)=2,LEN(N61)=2,LEN(O61)=2,LEN(P61)=2,LEN(Q61)=2,LEN(R61)=2,LEN(S61)=2,LEN(T61)=2,LEN(U61)=2,LEN(V61)=2,LEN(W61)=2,LEN(X61)=2,LEN(Y61)=2,LEN(Z61)=2,LEN(AK61)=2,LEN(AL61)=2,LEN(AM61)=2),"X",""),"")</f>
        <v/>
      </c>
      <c r="CS61" s="91"/>
      <c r="CT61" s="88" t="str">
        <f>IF(LEFT(F61,4)="Acro",IF(AND(N61&lt;&gt;"",M61=RIGHT(N61,2)),"X","OK"),"")</f>
        <v/>
      </c>
      <c r="CU61" s="90" t="str">
        <f t="shared" ref="CU61:DB61" si="2596">IFERROR(IF(AND(LEFT($F61,4)="Acro",INDEX(Requ_App,MATCH(BI61,Requ_Code,0))="No"),"X",""),"")</f>
        <v/>
      </c>
      <c r="CV61" s="90" t="str">
        <f t="shared" si="2596"/>
        <v/>
      </c>
      <c r="CW61" s="90" t="str">
        <f t="shared" si="2596"/>
        <v/>
      </c>
      <c r="CX61" s="90" t="str">
        <f t="shared" si="2596"/>
        <v/>
      </c>
      <c r="CY61" s="90" t="str">
        <f t="shared" si="2596"/>
        <v/>
      </c>
      <c r="CZ61" s="90" t="str">
        <f t="shared" si="2596"/>
        <v/>
      </c>
      <c r="DA61" s="90" t="str">
        <f t="shared" si="2596"/>
        <v/>
      </c>
      <c r="DB61" s="90" t="str">
        <f t="shared" si="2596"/>
        <v/>
      </c>
      <c r="DC61" s="90" t="str">
        <f>IFERROR(IF(AND(LEFT($F61,4)="Acro",INDEX(Requ_App,MATCH(BP61,Requ_Code,0))="No"),"X",""),"")</f>
        <v/>
      </c>
      <c r="DD61" s="88" t="str">
        <f t="shared" si="2030"/>
        <v/>
      </c>
      <c r="DE61" s="88" t="str">
        <f t="shared" si="2031"/>
        <v/>
      </c>
      <c r="DF61" s="88" t="str">
        <f t="shared" si="2032"/>
        <v/>
      </c>
      <c r="DG61" s="88" t="str">
        <f t="shared" si="2033"/>
        <v/>
      </c>
      <c r="DK61" s="88">
        <f>IF(AND(E62="A",OR(Q61="Grip",Q61="Conn",Q61="Catch")),"A1",IF(AND(E62="A",OR(Q61="Hula",Q61="RetSq",Q61="RetPa")),"A2",IF(AND(E62="B",OR(Q61="Twirl",Q61="RotF")),"B1",IF(AND(E62="B",OR(Q61="Moon",Q61="Mov")),"B2",IF(AND(E62="B",Q61="Hold"),"B3",IF(AND(E62="P",OR(Q61="Porp",Q61="Spich")),"P1",IF(AND(E62="P",OR(Q61="Diva",Q61="Ps1",Q61="Ps1t0.5",Q61="Ps1op",Q61="Ps1t0,5o",Q61="Ps1t1",Q61="CH+")),"P2",IF(AND(E62="P",OR(Q61="Spider",Q61="Climb")),"P3",IF(AND(E62="P",OR(Q61="Fall",Q61="FTurn")),"P4",IF(AND(E62="C",OR(Q61="Jump",Q61="Jump&gt;",Q61="On1Foot",Q61="1F&gt;1F")),"C1",IF(AND(E62="C",OR(Q61="Run",Q61="BRun")),"C2",1)))))))))))</f>
        <v>1</v>
      </c>
      <c r="DL61" s="88">
        <f>IF(AND(E62="A",OR(R61="Grip",R61="Conn",R61="Catch")),"A1",IF(AND(E62="A",OR(R61="Hula",R61="RetSq",R61="RetPa")),"A2",IF(AND(E62="B",OR(R61="Twirl",R61="RotF")),"B1",IF(AND(E62="B",OR(R61="Moon",R61="Mov")),"B3",IF(AND(E62="B",R61="Hold"),"B2",IF(AND(E62="P",OR(R61="Porp",R61="Spich")),"P1",IF(AND(E62="P",OR(R61="Diva",R61="Ps1",R61="Ps1t0.5",R61="Ps1op",R61="Ps1t0,5o",R61="Ps1t1",R61="CH+")),"P2",IF(AND(E62="P",OR(R61="Spider",R61="Climb")),"P3",IF(AND(E62="P",OR(R61="Fall",R61="FTurn")),"P4",IF(AND(E62="C",OR(R61="Jump",R61="Jump&gt;",R61="On1Foot",R61="1F&gt;1F")),"C1",IF(AND(E62="C",OR(R61="Run",R61="BRun")),"C2",2)))))))))))</f>
        <v>2</v>
      </c>
      <c r="DM61" s="88" t="str">
        <f>IF(AND(LEFT(F61,4)="Acro",Q61&lt;&gt;"",OR(Q61=R61,DK61=DL61)),IF(R61="C-Roll","","X"),IF(OR(AND(E62="A",Q61="Catch",R61&lt;&gt;"Dbl"),AND(E62="A",R61="Catch",Q61&lt;&gt;"Dbl")),"X",""))</f>
        <v/>
      </c>
      <c r="DN61" s="88" t="str">
        <f>IF(E62="PA",J61,"")</f>
        <v/>
      </c>
      <c r="DO61" s="88">
        <v>43</v>
      </c>
      <c r="DQ61" s="88" t="str">
        <f>IF(AND($E62="A",COUNTIF($DZ$19:$EA$68,DZ61)&gt;1),DZ61,"")</f>
        <v/>
      </c>
      <c r="DR61" s="88" t="str">
        <f>IF(AND($E62="A",COUNTIF($DZ$19:$EA$68,EA61)&gt;1),EA61,"")</f>
        <v/>
      </c>
      <c r="DS61" s="88" t="str">
        <f ca="1">IF(AND($E62="B",COUNTIF($J$19:$J$68,J61)&gt;1),J61,"")</f>
        <v/>
      </c>
      <c r="DT61" s="88" t="str">
        <f ca="1">IF(AND($E62="B",COUNTIF($K$19:$K$68,K61)&gt;1),K61,"")</f>
        <v/>
      </c>
      <c r="DU61" s="88" t="str">
        <f ca="1">IF(AND($E62="C",COUNTIF($J$19:$J$68,J61)&gt;1),J61,"")</f>
        <v/>
      </c>
      <c r="DV61" s="88" t="str">
        <f ca="1">IF(AND($E62="P",COUNTIF($J$19:$J$68,J61)&gt;1),J61,"")</f>
        <v/>
      </c>
      <c r="DW61" s="88" t="str">
        <f ca="1">IF(AND($E62="P",COUNTIF($K$19:$K$68,K61)&gt;1),K61,"")</f>
        <v/>
      </c>
      <c r="DX61" s="88" t="str">
        <f>IF(AND($E62="P",COUNTIF($DZ$19:$EA$68,DZ61)&gt;1),DZ61,"")</f>
        <v/>
      </c>
      <c r="DY61" s="88" t="str">
        <f>IF(AND($E62="P",COUNTIF($DZ$19:$EA$68,EA61)&gt;1),EA61,"")</f>
        <v/>
      </c>
      <c r="DZ61" s="88" t="str">
        <f>IFERROR(IF(OR(E62="A",E62="P"),M61,""),"")</f>
        <v/>
      </c>
      <c r="EA61" s="88" t="str">
        <f>IFERROR(IF(OR(E62="A",E62="P"),RIGHT(N61,2),""),"")</f>
        <v/>
      </c>
      <c r="EF61" s="88" t="str">
        <f>IF(AND($F$8="Open Team Acrobatic",LEFT(F61,4)="Acro"),E62,"")</f>
        <v/>
      </c>
      <c r="EG61" s="88" t="str">
        <f t="shared" ref="EG61" si="2597">IFERROR(IF(HLOOKUP(EF61,$DQ$12:$DT$13,2,FALSE)&gt;2,"X",""),"")</f>
        <v/>
      </c>
      <c r="EI61" s="88" t="str">
        <f>IF(OR(AND(F61="Hybrid - Thrust + 2 connections",EI62="T"),AND(F61="Hybrid - Free",EI62&lt;&gt;"")),"X","")</f>
        <v/>
      </c>
      <c r="EK61" s="88">
        <f t="shared" ref="EK61:FA61" si="2598">IFERROR(IF(AND($E62="H",J61&lt;&gt;""),IF(OR(LEFT(J61,1)="T",LEFT(J61,1)="S",LEFT(J61,1)="A",LEFT(J61,1)="F",LEFT(J61,1)="C"),LEFT(J61,1),"R"),EK$18),"")</f>
        <v>1</v>
      </c>
      <c r="EL61" s="88">
        <f t="shared" si="2598"/>
        <v>2</v>
      </c>
      <c r="EM61" s="88">
        <f t="shared" si="2598"/>
        <v>3</v>
      </c>
      <c r="EN61" s="88">
        <f t="shared" si="2598"/>
        <v>4</v>
      </c>
      <c r="EO61" s="88">
        <f t="shared" si="2598"/>
        <v>5</v>
      </c>
      <c r="EP61" s="88">
        <f t="shared" si="2598"/>
        <v>6</v>
      </c>
      <c r="EQ61" s="88">
        <f t="shared" si="2598"/>
        <v>7</v>
      </c>
      <c r="ER61" s="88">
        <f t="shared" si="2598"/>
        <v>8</v>
      </c>
      <c r="ES61" s="88">
        <f t="shared" si="2598"/>
        <v>9</v>
      </c>
      <c r="ET61" s="88">
        <f t="shared" si="2598"/>
        <v>10</v>
      </c>
      <c r="EU61" s="88">
        <f t="shared" si="2598"/>
        <v>11</v>
      </c>
      <c r="EV61" s="88">
        <f t="shared" si="2598"/>
        <v>12</v>
      </c>
      <c r="EW61" s="88">
        <f t="shared" si="2598"/>
        <v>13</v>
      </c>
      <c r="EX61" s="88">
        <f t="shared" si="2598"/>
        <v>14</v>
      </c>
      <c r="EY61" s="88">
        <f t="shared" si="2598"/>
        <v>15</v>
      </c>
      <c r="EZ61" s="88">
        <f t="shared" si="2598"/>
        <v>16</v>
      </c>
      <c r="FA61" s="88">
        <f t="shared" si="2598"/>
        <v>17</v>
      </c>
      <c r="FB61" s="88">
        <f t="shared" ref="FB61" si="2599">IFERROR(IF(AND($E62="H",AK61&lt;&gt;""),IF(OR(LEFT(AK61,1)="T",LEFT(AK61,1)="S",LEFT(AK61,1)="A",LEFT(AK61,1)="F",LEFT(AK61,1)="C"),LEFT(AK61,1),"R"),FB$18),"")</f>
        <v>18</v>
      </c>
      <c r="FC61" s="88">
        <f t="shared" ref="FC61" si="2600">IFERROR(IF(AND($E62="H",AL61&lt;&gt;""),IF(OR(LEFT(AL61,1)="T",LEFT(AL61,1)="S",LEFT(AL61,1)="A",LEFT(AL61,1)="F",LEFT(AL61,1)="C"),LEFT(AL61,1),"R"),FC$18),"")</f>
        <v>19</v>
      </c>
      <c r="FD61" s="88">
        <f t="shared" ref="FD61" si="2601">IFERROR(IF(AND($E62="H",AM61&lt;&gt;""),IF(OR(LEFT(AM61,1)="T",LEFT(AM61,1)="S",LEFT(AM61,1)="A",LEFT(AM61,1)="F",LEFT(AM61,1)="C"),LEFT(AM61,1),"R"),FD$18),"")</f>
        <v>20</v>
      </c>
      <c r="FE61" s="88"/>
      <c r="FF61" s="88"/>
      <c r="FG61" s="88"/>
      <c r="FH61" s="88"/>
      <c r="FI61" s="88"/>
      <c r="FJ61" s="88"/>
      <c r="FK61" s="88"/>
      <c r="FL61" s="88"/>
      <c r="FM61" s="88"/>
      <c r="FN61" s="88"/>
      <c r="FO61" s="88"/>
      <c r="FP61" s="88"/>
      <c r="FQ61" s="88"/>
      <c r="FR61" s="88">
        <f t="shared" ref="FR61:GH61" si="2602">IFERROR(IF(J61&lt;&gt;"",UPPER(J61),FR$18),FR$18)</f>
        <v>1</v>
      </c>
      <c r="FS61" s="88">
        <f t="shared" si="2602"/>
        <v>2</v>
      </c>
      <c r="FT61" s="88">
        <f t="shared" si="2602"/>
        <v>3</v>
      </c>
      <c r="FU61" s="88">
        <f t="shared" si="2602"/>
        <v>4</v>
      </c>
      <c r="FV61" s="88">
        <f t="shared" si="2602"/>
        <v>5</v>
      </c>
      <c r="FW61" s="88">
        <f t="shared" si="2602"/>
        <v>6</v>
      </c>
      <c r="FX61" s="88">
        <f t="shared" si="2602"/>
        <v>7</v>
      </c>
      <c r="FY61" s="88">
        <f t="shared" si="2602"/>
        <v>8</v>
      </c>
      <c r="FZ61" s="88">
        <f t="shared" si="2602"/>
        <v>9</v>
      </c>
      <c r="GA61" s="88">
        <f t="shared" si="2602"/>
        <v>10</v>
      </c>
      <c r="GB61" s="88">
        <f t="shared" si="2602"/>
        <v>11</v>
      </c>
      <c r="GC61" s="88">
        <f t="shared" si="2602"/>
        <v>12</v>
      </c>
      <c r="GD61" s="88">
        <f t="shared" si="2602"/>
        <v>13</v>
      </c>
      <c r="GE61" s="88">
        <f t="shared" si="2602"/>
        <v>14</v>
      </c>
      <c r="GF61" s="88">
        <f t="shared" si="2602"/>
        <v>15</v>
      </c>
      <c r="GG61" s="88">
        <f t="shared" si="2602"/>
        <v>16</v>
      </c>
      <c r="GH61" s="88">
        <f t="shared" si="2602"/>
        <v>17</v>
      </c>
      <c r="GI61" s="88">
        <f>IFERROR(IF(AK61&lt;&gt;"",UPPER(AK61),GI$18),GI$18)</f>
        <v>18</v>
      </c>
      <c r="GJ61" s="88">
        <f>IFERROR(IF(AL61&lt;&gt;"",UPPER(AL61),GJ$18),GJ$18)</f>
        <v>19</v>
      </c>
      <c r="GK61" s="88">
        <f>IFERROR(IF(AM61&lt;&gt;"",UPPER(AM61),GK$18),GK$18)</f>
        <v>20</v>
      </c>
      <c r="GL61" s="88"/>
      <c r="GM61" s="88"/>
      <c r="GN61" s="88"/>
      <c r="GO61" s="88"/>
      <c r="GP61" s="88"/>
      <c r="GQ61" s="88"/>
      <c r="GR61" s="88"/>
      <c r="GS61" s="88"/>
      <c r="GT61" s="88"/>
      <c r="GU61" s="88"/>
      <c r="GV61" s="88"/>
      <c r="GW61" s="88">
        <f t="shared" ref="GW61:HB61" si="2603">COUNTIF($EK61:$FD61,GW$18)</f>
        <v>0</v>
      </c>
      <c r="GX61" s="88">
        <f t="shared" si="2603"/>
        <v>0</v>
      </c>
      <c r="GY61" s="88">
        <f t="shared" si="2603"/>
        <v>0</v>
      </c>
      <c r="GZ61" s="88">
        <f t="shared" si="2603"/>
        <v>0</v>
      </c>
      <c r="HA61" s="88">
        <f t="shared" si="2603"/>
        <v>0</v>
      </c>
      <c r="HB61" s="88">
        <f t="shared" si="2603"/>
        <v>0</v>
      </c>
      <c r="HC61" s="88"/>
      <c r="HD61" s="88" t="str">
        <f t="shared" ref="HD61" si="2604">IF(AND($F61="Hybrid - Thrust + 2 connections",HD62=0,LEFT($J61,1)="C",LEFT($K61,1)="C",LEFT($L61,1)="C"),"X","")</f>
        <v/>
      </c>
      <c r="HE61" s="88"/>
      <c r="HF61" s="91"/>
      <c r="HG61" s="100"/>
      <c r="HH61" s="100"/>
      <c r="HI61" s="91" t="str">
        <f>IF(E62=3,_xlfn.NUMBERVALUE(LEFT(J61,1)),"")</f>
        <v/>
      </c>
    </row>
    <row r="62" spans="1:222" ht="15" hidden="1" customHeight="1" x14ac:dyDescent="0.35">
      <c r="A62" s="28"/>
      <c r="B62" s="29"/>
      <c r="C62" s="29"/>
      <c r="D62" s="29"/>
      <c r="E62" s="17" t="str">
        <f t="shared" ref="E62" si="2605">IF(F61="Acrobatic - Pair","PA",IF(F61="Acrobatic Airborn","A",IF(F61="Acrobatic Balance","B",IF(F61="Acrobatic Combined","C",IF(F61="Acrobatic Platform","P",IF(F61="Technical Required Element",3,IF(LEFT(F61,4)="Hybr","H","")))))))</f>
        <v/>
      </c>
      <c r="F62" s="17" t="str">
        <f>IF(AND(F61="Hybrid - Thrust + 2 connections",CR61="X"),"Hybrid - Thrust",IF(OR(E62="A",E62="B",E62="C",E62="P"),"Acrobatic",""))</f>
        <v/>
      </c>
      <c r="G62" s="31"/>
      <c r="H62" s="182" t="str">
        <f t="shared" ref="H62" si="2606">IF(E62="PA",IF(OR(LEFT(J61,1)="L",LEFT(J61,1)="S"),"A-Pair-Lift",IF(OR(LEFT(J61,1)="W",LEFT(J61,1)="T"),"A-Pair-Throw",IF(LEFT(J61,1)="J","A-Pair-Jump","A-Pair"))),IF(OR(E62="A",E62="B",E62="C",E62="P"),CONCATENATE("Acro-",E62),""))</f>
        <v/>
      </c>
      <c r="I62" s="176" t="e">
        <f t="shared" ref="I62" si="2607">IF(OR(F61="Hybrid - min 4 swimmers (no DD)",LEFT(F61,5)="Trans"),0,INDEX($BY$3:$BY$9,MATCH(E62,$BX$3:$BX$9,0)))</f>
        <v>#N/A</v>
      </c>
      <c r="J62" s="171">
        <f t="shared" ref="J62:Z62" ca="1" si="2608">IFERROR(IF($H61="No DD",0,IF(OR(ISBLANK(J61),J61="N/A"),0,INDEX(INDIRECT(BI62),MATCH(J61,INDIRECT(BI61),0)))),0)</f>
        <v>0</v>
      </c>
      <c r="K62" s="171">
        <f t="shared" ca="1" si="2608"/>
        <v>0</v>
      </c>
      <c r="L62" s="171">
        <f t="shared" ca="1" si="2608"/>
        <v>0</v>
      </c>
      <c r="M62" s="171">
        <f t="shared" ca="1" si="2608"/>
        <v>0</v>
      </c>
      <c r="N62" s="171">
        <f t="shared" ca="1" si="2608"/>
        <v>0</v>
      </c>
      <c r="O62" s="171">
        <f t="shared" ca="1" si="2608"/>
        <v>0</v>
      </c>
      <c r="P62" s="171">
        <f t="shared" ca="1" si="2608"/>
        <v>0</v>
      </c>
      <c r="Q62" s="171">
        <f t="shared" ca="1" si="2608"/>
        <v>0</v>
      </c>
      <c r="R62" s="171">
        <f t="shared" ca="1" si="2608"/>
        <v>0</v>
      </c>
      <c r="S62" s="171">
        <f t="shared" ca="1" si="2608"/>
        <v>0</v>
      </c>
      <c r="T62" s="171">
        <f t="shared" ca="1" si="2608"/>
        <v>0</v>
      </c>
      <c r="U62" s="171">
        <f t="shared" ca="1" si="2608"/>
        <v>0</v>
      </c>
      <c r="V62" s="171">
        <f t="shared" ca="1" si="2608"/>
        <v>0</v>
      </c>
      <c r="W62" s="171">
        <f t="shared" ca="1" si="2608"/>
        <v>0</v>
      </c>
      <c r="X62" s="171">
        <f t="shared" ca="1" si="2608"/>
        <v>0</v>
      </c>
      <c r="Y62" s="171">
        <f t="shared" ca="1" si="2608"/>
        <v>0</v>
      </c>
      <c r="Z62" s="171">
        <f t="shared" ca="1" si="2608"/>
        <v>0</v>
      </c>
      <c r="AA62" s="171">
        <f ca="1">IFERROR(IF($H61="No DD",0,IF(OR(ISBLANK(AA61),AA61="N/A"),0,INDEX(INDIRECT(BX62),MATCH(AA61,INDIRECT(BX61),0)))),0)</f>
        <v>0</v>
      </c>
      <c r="AB62" s="171">
        <f ca="1">IFERROR(IF($H61="No DD",0,IF(OR(ISBLANK(AB61),AB61="N/A"),0,INDEX(INDIRECT(BY62),MATCH(AB61,INDIRECT(BY61),0)))),0)</f>
        <v>0</v>
      </c>
      <c r="AC62" s="171">
        <f ca="1">IFERROR(IF($H61="No DD",0,IF(OR(ISBLANK(AC61),AC61="N/A"),0,INDEX(INDIRECT(BX62),MATCH(AC61,INDIRECT(BX61),0)))),0)</f>
        <v>0</v>
      </c>
      <c r="AD62" s="171">
        <f ca="1">IFERROR(IF($H61="No DD",0,IF(OR(ISBLANK(AD61),AD61="N/A"),0,INDEX(INDIRECT(BY62),MATCH(AD61,INDIRECT(BY61),0)))),0)</f>
        <v>0</v>
      </c>
      <c r="AE62" s="171">
        <f ca="1">IFERROR(IF($H61="No DD",0,IF(OR(ISBLANK(AE61),AE61="N/A"),0,INDEX(INDIRECT(BX62),MATCH(AE61,INDIRECT(BX61),0)))),0)</f>
        <v>0</v>
      </c>
      <c r="AF62" s="171">
        <f ca="1">IFERROR(IF($H61="No DD",0,IF(OR(ISBLANK(AF61),AF61="N/A"),0,INDEX(INDIRECT(BY62),MATCH(AF61,INDIRECT(BY61),0)))),0)</f>
        <v>0</v>
      </c>
      <c r="AG62" s="171">
        <f ca="1">IFERROR(IF($H61="No DD",0,IF(OR(ISBLANK(AG61),AG61="N/A"),0,INDEX(INDIRECT(BX62),MATCH(AG61,INDIRECT(BX61),0)))),0)</f>
        <v>0</v>
      </c>
      <c r="AH62" s="171">
        <f ca="1">IFERROR(IF($H61="No DD",0,IF(OR(ISBLANK(AH61),AH61="N/A"),0,INDEX(INDIRECT(BY62),MATCH(AH61,INDIRECT(BY61),0)))),0)</f>
        <v>0</v>
      </c>
      <c r="AI62" s="171">
        <f t="shared" ref="AI62" ca="1" si="2609">IFERROR(IF($H61="No DD",0,IF(OR(ISBLANK(AI61),AI61="N/A"),0,INDEX(INDIRECT(BX62),MATCH(AI61,INDIRECT(BX61),0)))),0)</f>
        <v>0</v>
      </c>
      <c r="AJ62" s="171">
        <f t="shared" ref="AJ62" ca="1" si="2610">IFERROR(IF($H61="No DD",0,IF(OR(ISBLANK(AJ61),AJ61="N/A"),0,INDEX(INDIRECT(BY62),MATCH(AJ61,INDIRECT(BY61),0)))),0)</f>
        <v>0</v>
      </c>
      <c r="AK62" s="171">
        <f t="shared" ref="AK62" ca="1" si="2611">IFERROR(IF($H61="No DD",0,IF(OR(ISBLANK(AK61),AK61="N/A"),0,INDEX(INDIRECT(BZ62),MATCH(AK61,INDIRECT(BZ61),0)))),0)</f>
        <v>0</v>
      </c>
      <c r="AL62" s="171">
        <f t="shared" ref="AL62" ca="1" si="2612">IFERROR(IF($H61="No DD",0,IF(OR(ISBLANK(AL61),AL61="N/A"),0,INDEX(INDIRECT(CA62),MATCH(AL61,INDIRECT(CA61),0)))),0)</f>
        <v>0</v>
      </c>
      <c r="AM62" s="171">
        <f t="shared" ref="AM62" ca="1" si="2613">IFERROR(IF($H61="No DD",0,IF(OR(ISBLANK(AM61),AM61="N/A"),0,INDEX(INDIRECT(CB62),MATCH(AM61,INDIRECT(CB61),0)))),0)</f>
        <v>0</v>
      </c>
      <c r="AN62" s="172" t="str">
        <f>IFERROR(IF(E62="H",INDEX(HybridBonus_Value,MATCH(AN61,HybridBonus_Code,0)),""),"")</f>
        <v/>
      </c>
      <c r="AO62" s="276" t="str">
        <f>IFERROR(IF(J61&lt;&gt;"",SUM(I62:AN62),""),"")</f>
        <v/>
      </c>
      <c r="AP62" s="62"/>
      <c r="AQ62" s="62"/>
      <c r="AR62" s="101"/>
      <c r="AS62" s="101"/>
      <c r="AT62" s="101"/>
      <c r="AU62" s="101"/>
      <c r="AV62" s="101"/>
      <c r="AW62" s="101"/>
      <c r="AX62" s="101"/>
      <c r="AY62" s="101"/>
      <c r="AZ62" s="101"/>
      <c r="BA62" s="101"/>
      <c r="BB62" s="101"/>
      <c r="BC62" s="101"/>
      <c r="BD62" s="101"/>
      <c r="BE62" s="101"/>
      <c r="BF62" s="101"/>
      <c r="BG62" s="90"/>
      <c r="BH62" s="101"/>
      <c r="BI62" s="91" t="str">
        <f t="shared" ref="BI62" si="2614">IF($E62="H","HybridDD_Value",IF($E62=3,"TreDD_Value",IF($E62="PA","AcroPair_Value",IF(LEFT($F61,4)="Acro",CONCATENATE(BI$16,$E62,"_Value"),""))))</f>
        <v/>
      </c>
      <c r="BJ62" s="91" t="str">
        <f t="shared" ref="BJ62:BK62" si="2615">IF($E62="H","HybridDD_Value",IF($E62=3,"",IF(LEFT($F61,4)="Acro",CONCATENATE(BJ$16,$E62,"_Value"),IF($E62="PA","",""))))</f>
        <v/>
      </c>
      <c r="BK62" s="91" t="str">
        <f t="shared" si="2615"/>
        <v/>
      </c>
      <c r="BL62" s="91" t="str">
        <f t="shared" ref="BL62:BQ62" si="2616">IF($E62="H","HybridDD_Value",IF($E62=3,"",IF(LEFT($F61,4)="Acro",CONCATENATE(BL$16,$E62,"_Value"),IF($E62="PA","",""))))</f>
        <v/>
      </c>
      <c r="BM62" s="91" t="str">
        <f t="shared" si="2616"/>
        <v/>
      </c>
      <c r="BN62" s="91" t="str">
        <f t="shared" si="2616"/>
        <v/>
      </c>
      <c r="BO62" s="91" t="str">
        <f t="shared" si="2616"/>
        <v/>
      </c>
      <c r="BP62" s="91" t="str">
        <f t="shared" si="2616"/>
        <v/>
      </c>
      <c r="BQ62" s="91" t="str">
        <f t="shared" si="2616"/>
        <v/>
      </c>
      <c r="BR62" s="90" t="str">
        <f t="shared" ref="BR62" si="2617">IF($E62="H","HybridDD_Value","Data!$BI$1:$BI$5")</f>
        <v>Data!$BI$1:$BI$5</v>
      </c>
      <c r="BS62" s="90" t="str">
        <f t="shared" si="2558"/>
        <v>Data!$BI$1:$BI$5</v>
      </c>
      <c r="BT62" s="90" t="str">
        <f t="shared" si="2558"/>
        <v>Data!$BI$1:$BI$5</v>
      </c>
      <c r="BU62" s="90" t="str">
        <f t="shared" si="2558"/>
        <v>Data!$BI$1:$BI$5</v>
      </c>
      <c r="BV62" s="90" t="str">
        <f t="shared" si="2558"/>
        <v>Data!$BI$1:$BI$5</v>
      </c>
      <c r="BW62" s="90" t="str">
        <f t="shared" si="2558"/>
        <v>Data!$BI$1:$BI$5</v>
      </c>
      <c r="BX62" s="90" t="str">
        <f t="shared" si="2558"/>
        <v>Data!$BI$1:$BI$5</v>
      </c>
      <c r="BY62" s="90" t="str">
        <f t="shared" si="2558"/>
        <v>Data!$BI$1:$BI$5</v>
      </c>
      <c r="BZ62" s="90" t="str">
        <f t="shared" si="2558"/>
        <v>Data!$BI$1:$BI$5</v>
      </c>
      <c r="CA62" s="90" t="str">
        <f t="shared" si="2558"/>
        <v>Data!$BI$1:$BI$5</v>
      </c>
      <c r="CB62" s="90" t="str">
        <f t="shared" si="2558"/>
        <v>Data!$BI$1:$BI$5</v>
      </c>
      <c r="CC62" s="90"/>
      <c r="CD62" s="90"/>
      <c r="CE62" s="90"/>
      <c r="CF62" s="90"/>
      <c r="CG62" s="90"/>
      <c r="CH62" s="90"/>
      <c r="CI62" s="90"/>
      <c r="CJ62" s="90"/>
      <c r="CK62" s="90"/>
      <c r="CL62" s="90"/>
      <c r="CM62" s="101"/>
      <c r="CN62" s="101"/>
      <c r="CO62" s="102" t="str">
        <f>IFERROR(IF(AND($BV$6="T",$BV$8="T",LEFT(F61,4)="Acro",AO62&gt;3),"X",IF($N$7="X",IF(AND(E62="C",AO62&gt;$CN$6),"X",IF(AND(E62="A",AO62&gt;$CN$4),"X",IF(AND(E62="B",AO62&gt;$CN$5),"X",IF(AND(E62="P",AO62&gt;$CN$7),"X","")))),"")),"")</f>
        <v/>
      </c>
      <c r="CP62" s="93"/>
      <c r="CQ62" s="91"/>
      <c r="CS62" s="91"/>
      <c r="CT62" s="91"/>
      <c r="CU62" s="91"/>
      <c r="CV62" s="91"/>
      <c r="CW62" s="91"/>
      <c r="CX62" s="91"/>
      <c r="CY62" s="91"/>
      <c r="CZ62" s="91"/>
      <c r="DD62" s="88" t="str">
        <f t="shared" si="2030"/>
        <v/>
      </c>
      <c r="DE62" s="88" t="str">
        <f t="shared" si="2031"/>
        <v/>
      </c>
      <c r="DF62" s="88" t="str">
        <f t="shared" si="2032"/>
        <v/>
      </c>
      <c r="DG62" s="88" t="str">
        <f t="shared" si="2033"/>
        <v/>
      </c>
      <c r="DO62" s="88">
        <v>44</v>
      </c>
      <c r="EI62" s="88" t="str" cm="1">
        <f t="array" ref="EI62">IFERROR(INDEX(EK62:FD62,MATCH(TRUE,INDEX((EK62:FD62&lt;&gt;""),),0)),"")</f>
        <v/>
      </c>
      <c r="EK62" s="88" t="str">
        <f t="shared" ref="EK62:FD62" si="2618">IF(F61="Hybrid - Thrust + 2 connections",IF(COUNTIF($EK61:$FD61,EK61)&gt;1,EK61,""),IF(COUNTIF($EK61:$FD61,EK61)&gt;5,EK61,""))</f>
        <v/>
      </c>
      <c r="EL62" s="88" t="str">
        <f t="shared" si="2618"/>
        <v/>
      </c>
      <c r="EM62" s="88" t="str">
        <f t="shared" si="2618"/>
        <v/>
      </c>
      <c r="EN62" s="88" t="str">
        <f t="shared" si="2618"/>
        <v/>
      </c>
      <c r="EO62" s="88" t="str">
        <f t="shared" si="2618"/>
        <v/>
      </c>
      <c r="EP62" s="88" t="str">
        <f t="shared" si="2618"/>
        <v/>
      </c>
      <c r="EQ62" s="88" t="str">
        <f t="shared" si="2618"/>
        <v/>
      </c>
      <c r="ER62" s="88" t="str">
        <f t="shared" si="2618"/>
        <v/>
      </c>
      <c r="ES62" s="88" t="str">
        <f t="shared" si="2618"/>
        <v/>
      </c>
      <c r="ET62" s="88" t="str">
        <f t="shared" si="2618"/>
        <v/>
      </c>
      <c r="EU62" s="88" t="str">
        <f t="shared" si="2618"/>
        <v/>
      </c>
      <c r="EV62" s="88" t="str">
        <f t="shared" si="2618"/>
        <v/>
      </c>
      <c r="EW62" s="88" t="str">
        <f t="shared" si="2618"/>
        <v/>
      </c>
      <c r="EX62" s="88" t="str">
        <f t="shared" si="2618"/>
        <v/>
      </c>
      <c r="EY62" s="88" t="str">
        <f t="shared" si="2618"/>
        <v/>
      </c>
      <c r="EZ62" s="88" t="str">
        <f t="shared" si="2618"/>
        <v/>
      </c>
      <c r="FA62" s="88" t="str">
        <f t="shared" si="2618"/>
        <v/>
      </c>
      <c r="FB62" s="88" t="str">
        <f t="shared" si="2618"/>
        <v/>
      </c>
      <c r="FC62" s="88" t="str">
        <f t="shared" si="2618"/>
        <v/>
      </c>
      <c r="FD62" s="88" t="str">
        <f t="shared" si="2618"/>
        <v/>
      </c>
      <c r="FE62" s="88"/>
      <c r="FF62" s="88"/>
      <c r="FG62" s="88"/>
      <c r="FH62" s="88"/>
      <c r="FI62" s="88"/>
      <c r="FJ62" s="88"/>
      <c r="FK62" s="88"/>
      <c r="FL62" s="88"/>
      <c r="FM62" s="88"/>
      <c r="FN62" s="88"/>
      <c r="FO62" s="88"/>
      <c r="FP62" s="88"/>
      <c r="FQ62" s="88" t="str" cm="1">
        <f t="array" ref="FQ62">IFERROR(INDEX(FR62:GK62,MATCH(TRUE,INDEX((FR62:GK62&lt;&gt;""),),0)),"")</f>
        <v/>
      </c>
      <c r="FR62" s="88" t="str">
        <f t="shared" ref="FR62:GK62" si="2619">IF(COUNTIF($FR61:$GK61,FR61)&gt;3,FR61,"")</f>
        <v/>
      </c>
      <c r="FS62" s="88" t="str">
        <f t="shared" si="2619"/>
        <v/>
      </c>
      <c r="FT62" s="88" t="str">
        <f t="shared" si="2619"/>
        <v/>
      </c>
      <c r="FU62" s="88" t="str">
        <f t="shared" si="2619"/>
        <v/>
      </c>
      <c r="FV62" s="88" t="str">
        <f t="shared" si="2619"/>
        <v/>
      </c>
      <c r="FW62" s="88" t="str">
        <f t="shared" si="2619"/>
        <v/>
      </c>
      <c r="FX62" s="88" t="str">
        <f t="shared" si="2619"/>
        <v/>
      </c>
      <c r="FY62" s="88" t="str">
        <f t="shared" si="2619"/>
        <v/>
      </c>
      <c r="FZ62" s="88" t="str">
        <f t="shared" si="2619"/>
        <v/>
      </c>
      <c r="GA62" s="88" t="str">
        <f t="shared" si="2619"/>
        <v/>
      </c>
      <c r="GB62" s="88" t="str">
        <f t="shared" si="2619"/>
        <v/>
      </c>
      <c r="GC62" s="88" t="str">
        <f t="shared" si="2619"/>
        <v/>
      </c>
      <c r="GD62" s="88" t="str">
        <f t="shared" si="2619"/>
        <v/>
      </c>
      <c r="GE62" s="88" t="str">
        <f t="shared" si="2619"/>
        <v/>
      </c>
      <c r="GF62" s="88" t="str">
        <f t="shared" si="2619"/>
        <v/>
      </c>
      <c r="GG62" s="88" t="str">
        <f t="shared" si="2619"/>
        <v/>
      </c>
      <c r="GH62" s="88" t="str">
        <f t="shared" si="2619"/>
        <v/>
      </c>
      <c r="GI62" s="88" t="str">
        <f t="shared" si="2619"/>
        <v/>
      </c>
      <c r="GJ62" s="88" t="str">
        <f t="shared" si="2619"/>
        <v/>
      </c>
      <c r="GK62" s="88" t="str">
        <f t="shared" si="2619"/>
        <v/>
      </c>
      <c r="GL62" s="88"/>
      <c r="GM62" s="88"/>
      <c r="GN62" s="88"/>
      <c r="GO62" s="88"/>
      <c r="GP62" s="88"/>
      <c r="GQ62" s="88"/>
      <c r="GR62" s="88"/>
      <c r="GS62" s="88"/>
      <c r="GT62" s="88"/>
      <c r="GU62" s="88"/>
      <c r="GV62" s="88"/>
      <c r="GW62" s="88"/>
      <c r="GX62" s="88"/>
      <c r="GY62" s="88"/>
      <c r="GZ62" s="88"/>
      <c r="HA62" s="88"/>
      <c r="HB62" s="88"/>
      <c r="HC62" s="88"/>
      <c r="HD62" s="88" t="str">
        <f>IF($F61="Hybrid - Thrust + 2 connections",COUNTBLANK(J61:L61),"")</f>
        <v/>
      </c>
      <c r="HE62" s="88"/>
      <c r="HF62" s="91"/>
      <c r="HG62" s="91"/>
      <c r="HH62" s="91"/>
      <c r="HI62" s="91"/>
    </row>
    <row r="63" spans="1:222" ht="15" hidden="1" customHeight="1" x14ac:dyDescent="0.35">
      <c r="A63" s="28" t="str">
        <f>IF(AND(E61="",A61&lt;&gt;""),IF(CP61=$CP$18,"",IF(C61&lt;&gt;"",IF(D61=59,MINUTE(CP61)+1,MINUTE(CP61)),"")),"")</f>
        <v/>
      </c>
      <c r="B63" s="29" t="str">
        <f>IF(AND(E61="",B61&lt;&gt;""),IF(CP61=$CP$18,"",IF(C61&lt;&gt;"",IF(D61=59,0,SECOND(CP61)+1),"")),"")</f>
        <v/>
      </c>
      <c r="C63" s="39"/>
      <c r="D63" s="39"/>
      <c r="E63" s="9"/>
      <c r="F63" s="40"/>
      <c r="G63" s="31" t="str">
        <f>IF(F63&lt;&gt;"",IF(OR(F63="Transition",F63="Transition - Surface Connection"),0,MAX($G$19:G62)+1),"")</f>
        <v/>
      </c>
      <c r="H63" s="43" t="str">
        <f t="shared" ref="H63" si="2620">IFERROR(IF(E64="3","",IF(OR(F63="Hybrid - min 4 swimmers (no DD)",LEFT(F63,5)="Trans"),"No DD",CONCATENATE("BM = ",I64))),"")</f>
        <v/>
      </c>
      <c r="I63" s="44"/>
      <c r="J63" s="109"/>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58"/>
      <c r="AO63" s="32"/>
      <c r="AP63" s="61"/>
      <c r="AQ63" s="61"/>
      <c r="AR63" s="90"/>
      <c r="AS63" s="90"/>
      <c r="AT63" s="90"/>
      <c r="AU63" s="90"/>
      <c r="AV63" s="90"/>
      <c r="AW63" s="90"/>
      <c r="AX63" s="90"/>
      <c r="AY63" s="90"/>
      <c r="AZ63" s="90"/>
      <c r="BA63" s="90"/>
      <c r="BB63" s="90"/>
      <c r="BC63" s="90"/>
      <c r="BD63" s="90"/>
      <c r="BE63" s="90"/>
      <c r="BF63" s="90"/>
      <c r="BG63" s="90" t="str">
        <f>IFERROR(IF(F63&lt;&gt;"",INDEX(Parts_Active,MATCH(F63,Parts_Active,0)),""),"No")</f>
        <v/>
      </c>
      <c r="BH63" s="90"/>
      <c r="BI63" s="90" t="str">
        <f t="shared" ref="BI63" si="2621">IF($E64="H",IF($F63="Hybrid - Thrust + 2 connections","Hybrid_Mix_Req","HybridDD_Code"),IF($E64=3,"TreDD_Code",IF($E64="PA","AcroPair_Code",IF(LEFT($F63,4)="Acro",CONCATENATE(BI$16,$E64,"_Code"),"Data!$BI$1:$BI$5"))))</f>
        <v>Data!$BI$1:$BI$5</v>
      </c>
      <c r="BJ63" s="90" t="str">
        <f t="shared" ref="BJ63" si="2622">IF($E64="H",IF($F63="Hybrid - Thrust + 2 connections","Hybrid_Mix_Req","HybridDD_Code"),IF($E64=3,"TreDD_Code",IF($E64="PA","AcroPair_Code",IF(LEFT($F63,4)="Acro",CONCATENATE(BJ$16,$E64,"_Code"),"Data!$BI$1:$BI$5"))))</f>
        <v>Data!$BI$1:$BI$5</v>
      </c>
      <c r="BK63" s="90" t="str">
        <f t="shared" ref="BK63" si="2623">IF($E64="H",IF($F63="Hybrid - Thrust + 2 connections","Hybrid_Mix_Req","HybridDD_Code"),IF($E64=3,"TreDD_Code",IF($E64="PA","AcroPair_Code",IF(LEFT($F63,4)="Acro",CONCATENATE(BK$16,$E64,"_Code"),"Data!$BI$1:$BI$5"))))</f>
        <v>Data!$BI$1:$BI$5</v>
      </c>
      <c r="BL63" s="90" t="str">
        <f t="shared" ref="BL63" si="2624">IF($E64="H",IF($F63="Hybrid - Thrust + 2 connections","Data!$BI$1:$BI$5","HybridDD_Code"),IF($E64=3,"Data!$BI$1:$BI$5",IF(LEFT($F63,4)="Acro",CONCATENATE(BL$16,$E64,"_Code"),IF($E64="PA","","Data!$BI$1:$BI$5"))))</f>
        <v>Data!$BI$1:$BI$5</v>
      </c>
      <c r="BM63" s="90" t="str">
        <f t="shared" ref="BM63" si="2625">IF($E64="H",IF($F63="Hybrid - Thrust + 2 connections","Data!$BI$1:$BI$5","HybridDD_Code"),IF($E64=3,"Data!$BI$1:$BI$5",IF(LEFT($F63,4)="Acro",CONCATENATE(BM$16,$E64,"_Code"),IF($E64="PA","","Data!$BI$1:$BI$5"))))</f>
        <v>Data!$BI$1:$BI$5</v>
      </c>
      <c r="BN63" s="90" t="str">
        <f t="shared" ref="BN63" si="2626">IF($E64="H",IF($F63="Hybrid - Thrust + 2 connections","Data!$BI$1:$BI$5","HybridDD_Code"),IF($E64=3,"Data!$BI$1:$BI$5",IF(LEFT($F63,4)="Acro",CONCATENATE(BN$16,$E64,"_Code"),IF($E64="PA","","Data!$BI$1:$BI$5"))))</f>
        <v>Data!$BI$1:$BI$5</v>
      </c>
      <c r="BO63" s="90" t="str">
        <f t="shared" ref="BO63" si="2627">IF($E64="H",IF($F63="Hybrid - Thrust + 2 connections","Data!$BI$1:$BI$5","HybridDD_Code"),IF($E64=3,"Data!$BI$1:$BI$5",IF(LEFT($F63,4)="Acro",CONCATENATE(BO$16,$E64,"_Code"),IF($E64="PA","","Data!$BI$1:$BI$5"))))</f>
        <v>Data!$BI$1:$BI$5</v>
      </c>
      <c r="BP63" s="90" t="str">
        <f t="shared" ref="BP63" si="2628">IF($E64="H",IF($F63="Hybrid - Thrust + 2 connections","Data!$BI$1:$BI$5","HybridDD_Code"),IF($E64=3,"Data!$BI$1:$BI$5",IF(LEFT($F63,4)="Acro",CONCATENATE(BP$16,$E64,"_Code"),IF($E64="PA","","Data!$BI$1:$BI$5"))))</f>
        <v>Data!$BI$1:$BI$5</v>
      </c>
      <c r="BQ63" s="90" t="str">
        <f t="shared" ref="BQ63" si="2629">IF($E64="H",IF($F63="Hybrid - Thrust + 2 connections","Data!$BI$1:$BI$5","HybridDD_Code"),IF($E64=3,"Data!$BI$1:$BI$5",IF(LEFT($F63,4)="Acro",CONCATENATE(BQ$16,$E64,"_Code"),IF($E64="PA","","Data!$BI$1:$BI$5"))))</f>
        <v>Data!$BI$1:$BI$5</v>
      </c>
      <c r="BR63" s="90" t="str">
        <f t="shared" ref="BR63" si="2630">IF($E64="H",IF($F63="Hybrid - Thrust + 2 connections","Data!$BI$1:$BI$5","HybridDD_Code"),"Data!$BI$1:$BI$5")</f>
        <v>Data!$BI$1:$BI$5</v>
      </c>
      <c r="BS63" s="90" t="str">
        <f t="shared" si="2558"/>
        <v>Data!$BI$1:$BI$5</v>
      </c>
      <c r="BT63" s="90" t="str">
        <f t="shared" si="2558"/>
        <v>Data!$BI$1:$BI$5</v>
      </c>
      <c r="BU63" s="90" t="str">
        <f t="shared" si="2558"/>
        <v>Data!$BI$1:$BI$5</v>
      </c>
      <c r="BV63" s="90" t="str">
        <f t="shared" si="2558"/>
        <v>Data!$BI$1:$BI$5</v>
      </c>
      <c r="BW63" s="90" t="str">
        <f t="shared" si="2558"/>
        <v>Data!$BI$1:$BI$5</v>
      </c>
      <c r="BX63" s="90" t="str">
        <f t="shared" si="2558"/>
        <v>Data!$BI$1:$BI$5</v>
      </c>
      <c r="BY63" s="90" t="str">
        <f t="shared" si="2558"/>
        <v>Data!$BI$1:$BI$5</v>
      </c>
      <c r="BZ63" s="90" t="str">
        <f t="shared" si="2558"/>
        <v>Data!$BI$1:$BI$5</v>
      </c>
      <c r="CA63" s="90" t="str">
        <f t="shared" si="2558"/>
        <v>Data!$BI$1:$BI$5</v>
      </c>
      <c r="CB63" s="90" t="str">
        <f t="shared" si="2558"/>
        <v>Data!$BI$1:$BI$5</v>
      </c>
      <c r="CC63" s="90"/>
      <c r="CD63" s="90"/>
      <c r="CE63" s="90"/>
      <c r="CF63" s="90"/>
      <c r="CG63" s="90"/>
      <c r="CH63" s="90"/>
      <c r="CI63" s="90"/>
      <c r="CJ63" s="90"/>
      <c r="CK63" s="90"/>
      <c r="CL63" s="90"/>
      <c r="CM63" s="90"/>
      <c r="CN63" s="90"/>
      <c r="CO63" s="93" t="str">
        <f>IFERROR(TIME(0,A63,B63),"")</f>
        <v/>
      </c>
      <c r="CP63" s="94">
        <f>IFERROR(TIME(0,C63,D63),"")</f>
        <v>0</v>
      </c>
      <c r="CQ63" s="94" t="str">
        <f t="shared" ref="CQ63" si="2631">IF(CP63&gt;$D$12,"X","")</f>
        <v/>
      </c>
      <c r="CR63" s="88" t="str">
        <f>IF(AND(F63="Hybrid - Thrust + 2 connections",OR(LEFT(J63,1)="T",LEFT(K63,1)="T",LEFT(L63,1)="T",LEFT(PB63,1)="T",LEFT(M63,1)="T",LEFT(N63,1)="T",LEFT(O63,1)="T",LEFT(P63,1)="T",LEFT(Q63,1)="T",LEFT(R63,1)="T",LEFT(S63,1)="T",LEFT(T63,1)="T",LEFT(U63,1)="T",LEFT(V63,1)="T",LEFT(W63,1)="T",LEFT(X63,1)="T",LEFT(AK63,1)="T",LEFT(AL63,1)="T",LEFT(AM63,1)="T")),IF(OR(LEN(J63)=2,LEN(K63)=2,LEN(L63)=2,LEN(M63)=2,LEN(N63)=2,LEN(O63)=2,LEN(P63)=2,LEN(Q63)=2,LEN(R63)=2,LEN(S63)=2,LEN(T63)=2,LEN(U63)=2,LEN(V63)=2,LEN(W63)=2,LEN(X63)=2,LEN(Y63)=2,LEN(Z63)=2,LEN(AK63)=2,LEN(AL63)=2,LEN(AM63)=2),"X",""),"")</f>
        <v/>
      </c>
      <c r="CS63" s="91"/>
      <c r="CT63" s="88" t="str">
        <f>IF(LEFT(F63,4)="Acro",IF(AND(N63&lt;&gt;"",M63=RIGHT(N63,2)),"X","OK"),"")</f>
        <v/>
      </c>
      <c r="CU63" s="90" t="str">
        <f t="shared" ref="CU63:DB63" si="2632">IFERROR(IF(AND(LEFT($F63,4)="Acro",INDEX(Requ_App,MATCH(BI63,Requ_Code,0))="No"),"X",""),"")</f>
        <v/>
      </c>
      <c r="CV63" s="90" t="str">
        <f t="shared" si="2632"/>
        <v/>
      </c>
      <c r="CW63" s="90" t="str">
        <f t="shared" si="2632"/>
        <v/>
      </c>
      <c r="CX63" s="90" t="str">
        <f t="shared" si="2632"/>
        <v/>
      </c>
      <c r="CY63" s="90" t="str">
        <f t="shared" si="2632"/>
        <v/>
      </c>
      <c r="CZ63" s="90" t="str">
        <f t="shared" si="2632"/>
        <v/>
      </c>
      <c r="DA63" s="90" t="str">
        <f t="shared" si="2632"/>
        <v/>
      </c>
      <c r="DB63" s="90" t="str">
        <f t="shared" si="2632"/>
        <v/>
      </c>
      <c r="DC63" s="90" t="str">
        <f>IFERROR(IF(AND(LEFT($F63,4)="Acro",INDEX(Requ_App,MATCH(BP63,Requ_Code,0))="No"),"X",""),"")</f>
        <v/>
      </c>
      <c r="DD63" s="88" t="str">
        <f t="shared" si="2030"/>
        <v/>
      </c>
      <c r="DE63" s="88" t="str">
        <f t="shared" si="2031"/>
        <v/>
      </c>
      <c r="DF63" s="88" t="str">
        <f t="shared" si="2032"/>
        <v/>
      </c>
      <c r="DG63" s="88" t="str">
        <f t="shared" si="2033"/>
        <v/>
      </c>
      <c r="DK63" s="88">
        <f>IF(AND(E64="A",OR(Q63="Grip",Q63="Conn",Q63="Catch")),"A1",IF(AND(E64="A",OR(Q63="Hula",Q63="RetSq",Q63="RetPa")),"A2",IF(AND(E64="B",OR(Q63="Twirl",Q63="RotF")),"B1",IF(AND(E64="B",OR(Q63="Moon",Q63="Mov")),"B2",IF(AND(E64="B",Q63="Hold"),"B3",IF(AND(E64="P",OR(Q63="Porp",Q63="Spich")),"P1",IF(AND(E64="P",OR(Q63="Diva",Q63="Ps1",Q63="Ps1t0.5",Q63="Ps1op",Q63="Ps1t0,5o",Q63="Ps1t1",Q63="CH+")),"P2",IF(AND(E64="P",OR(Q63="Spider",Q63="Climb")),"P3",IF(AND(E64="P",OR(Q63="Fall",Q63="FTurn")),"P4",IF(AND(E64="C",OR(Q63="Jump",Q63="Jump&gt;",Q63="On1Foot",Q63="1F&gt;1F")),"C1",IF(AND(E64="C",OR(Q63="Run",Q63="BRun")),"C2",1)))))))))))</f>
        <v>1</v>
      </c>
      <c r="DL63" s="88">
        <f>IF(AND(E64="A",OR(R63="Grip",R63="Conn",R63="Catch")),"A1",IF(AND(E64="A",OR(R63="Hula",R63="RetSq",R63="RetPa")),"A2",IF(AND(E64="B",OR(R63="Twirl",R63="RotF")),"B1",IF(AND(E64="B",OR(R63="Moon",R63="Mov")),"B3",IF(AND(E64="B",R63="Hold"),"B2",IF(AND(E64="P",OR(R63="Porp",R63="Spich")),"P1",IF(AND(E64="P",OR(R63="Diva",R63="Ps1",R63="Ps1t0.5",R63="Ps1op",R63="Ps1t0,5o",R63="Ps1t1",R63="CH+")),"P2",IF(AND(E64="P",OR(R63="Spider",R63="Climb")),"P3",IF(AND(E64="P",OR(R63="Fall",R63="FTurn")),"P4",IF(AND(E64="C",OR(R63="Jump",R63="Jump&gt;",R63="On1Foot",R63="1F&gt;1F")),"C1",IF(AND(E64="C",OR(R63="Run",R63="BRun")),"C2",2)))))))))))</f>
        <v>2</v>
      </c>
      <c r="DM63" s="88" t="str">
        <f>IF(AND(LEFT(F63,4)="Acro",Q63&lt;&gt;"",OR(Q63=R63,DK63=DL63)),IF(R63="C-Roll","","X"),IF(OR(AND(E64="A",Q63="Catch",R63&lt;&gt;"Dbl"),AND(E64="A",R63="Catch",Q63&lt;&gt;"Dbl")),"X",""))</f>
        <v/>
      </c>
      <c r="DN63" s="88" t="str">
        <f>IF(E64="PA",J63,"")</f>
        <v/>
      </c>
      <c r="DO63" s="88">
        <v>45</v>
      </c>
      <c r="DQ63" s="88" t="str">
        <f>IF(AND($E64="A",COUNTIF($DZ$19:$EA$68,DZ63)&gt;1),DZ63,"")</f>
        <v/>
      </c>
      <c r="DR63" s="88" t="str">
        <f>IF(AND($E64="A",COUNTIF($DZ$19:$EA$68,EA63)&gt;1),EA63,"")</f>
        <v/>
      </c>
      <c r="DS63" s="88" t="str">
        <f ca="1">IF(AND($E64="B",COUNTIF($J$19:$J$68,J63)&gt;1),J63,"")</f>
        <v/>
      </c>
      <c r="DT63" s="88" t="str">
        <f ca="1">IF(AND($E64="B",COUNTIF($K$19:$K$68,K63)&gt;1),K63,"")</f>
        <v/>
      </c>
      <c r="DU63" s="88" t="str">
        <f ca="1">IF(AND($E64="C",COUNTIF($J$19:$J$68,J63)&gt;1),J63,"")</f>
        <v/>
      </c>
      <c r="DV63" s="88" t="str">
        <f ca="1">IF(AND($E64="P",COUNTIF($J$19:$J$68,J63)&gt;1),J63,"")</f>
        <v/>
      </c>
      <c r="DW63" s="88" t="str">
        <f ca="1">IF(AND($E64="P",COUNTIF($K$19:$K$68,K63)&gt;1),K63,"")</f>
        <v/>
      </c>
      <c r="DX63" s="88" t="str">
        <f>IF(AND($E64="P",COUNTIF($DZ$19:$EA$68,DZ63)&gt;1),DZ63,"")</f>
        <v/>
      </c>
      <c r="DY63" s="88" t="str">
        <f>IF(AND($E64="P",COUNTIF($DZ$19:$EA$68,EA63)&gt;1),EA63,"")</f>
        <v/>
      </c>
      <c r="DZ63" s="88" t="str">
        <f>IFERROR(IF(OR(E64="A",E64="P"),M63,""),"")</f>
        <v/>
      </c>
      <c r="EA63" s="88" t="str">
        <f>IFERROR(IF(OR(E64="A",E64="P"),RIGHT(N63,2),""),"")</f>
        <v/>
      </c>
      <c r="EF63" s="88" t="str">
        <f>IF(AND($F$8="Open Team Acrobatic",LEFT(F63,4)="Acro"),E64,"")</f>
        <v/>
      </c>
      <c r="EG63" s="88" t="str">
        <f t="shared" ref="EG63" si="2633">IFERROR(IF(HLOOKUP(EF63,$DQ$12:$DT$13,2,FALSE)&gt;2,"X",""),"")</f>
        <v/>
      </c>
      <c r="EI63" s="88" t="str">
        <f>IF(OR(AND(F63="Hybrid - Thrust + 2 connections",EI64="T"),AND(F63="Hybrid - Free",EI64&lt;&gt;"")),"X","")</f>
        <v/>
      </c>
      <c r="EK63" s="88">
        <f t="shared" ref="EK63:FA63" si="2634">IFERROR(IF(AND($E64="H",J63&lt;&gt;""),IF(OR(LEFT(J63,1)="T",LEFT(J63,1)="S",LEFT(J63,1)="A",LEFT(J63,1)="F",LEFT(J63,1)="C"),LEFT(J63,1),"R"),EK$18),"")</f>
        <v>1</v>
      </c>
      <c r="EL63" s="88">
        <f t="shared" si="2634"/>
        <v>2</v>
      </c>
      <c r="EM63" s="88">
        <f t="shared" si="2634"/>
        <v>3</v>
      </c>
      <c r="EN63" s="88">
        <f t="shared" si="2634"/>
        <v>4</v>
      </c>
      <c r="EO63" s="88">
        <f t="shared" si="2634"/>
        <v>5</v>
      </c>
      <c r="EP63" s="88">
        <f t="shared" si="2634"/>
        <v>6</v>
      </c>
      <c r="EQ63" s="88">
        <f t="shared" si="2634"/>
        <v>7</v>
      </c>
      <c r="ER63" s="88">
        <f t="shared" si="2634"/>
        <v>8</v>
      </c>
      <c r="ES63" s="88">
        <f t="shared" si="2634"/>
        <v>9</v>
      </c>
      <c r="ET63" s="88">
        <f t="shared" si="2634"/>
        <v>10</v>
      </c>
      <c r="EU63" s="88">
        <f t="shared" si="2634"/>
        <v>11</v>
      </c>
      <c r="EV63" s="88">
        <f t="shared" si="2634"/>
        <v>12</v>
      </c>
      <c r="EW63" s="88">
        <f t="shared" si="2634"/>
        <v>13</v>
      </c>
      <c r="EX63" s="88">
        <f t="shared" si="2634"/>
        <v>14</v>
      </c>
      <c r="EY63" s="88">
        <f t="shared" si="2634"/>
        <v>15</v>
      </c>
      <c r="EZ63" s="88">
        <f t="shared" si="2634"/>
        <v>16</v>
      </c>
      <c r="FA63" s="88">
        <f t="shared" si="2634"/>
        <v>17</v>
      </c>
      <c r="FB63" s="88">
        <f t="shared" ref="FB63" si="2635">IFERROR(IF(AND($E64="H",AK63&lt;&gt;""),IF(OR(LEFT(AK63,1)="T",LEFT(AK63,1)="S",LEFT(AK63,1)="A",LEFT(AK63,1)="F",LEFT(AK63,1)="C"),LEFT(AK63,1),"R"),FB$18),"")</f>
        <v>18</v>
      </c>
      <c r="FC63" s="88">
        <f t="shared" ref="FC63" si="2636">IFERROR(IF(AND($E64="H",AL63&lt;&gt;""),IF(OR(LEFT(AL63,1)="T",LEFT(AL63,1)="S",LEFT(AL63,1)="A",LEFT(AL63,1)="F",LEFT(AL63,1)="C"),LEFT(AL63,1),"R"),FC$18),"")</f>
        <v>19</v>
      </c>
      <c r="FD63" s="88">
        <f t="shared" ref="FD63" si="2637">IFERROR(IF(AND($E64="H",AM63&lt;&gt;""),IF(OR(LEFT(AM63,1)="T",LEFT(AM63,1)="S",LEFT(AM63,1)="A",LEFT(AM63,1)="F",LEFT(AM63,1)="C"),LEFT(AM63,1),"R"),FD$18),"")</f>
        <v>20</v>
      </c>
      <c r="FE63" s="88"/>
      <c r="FF63" s="88"/>
      <c r="FG63" s="88"/>
      <c r="FH63" s="88"/>
      <c r="FI63" s="88"/>
      <c r="FJ63" s="88"/>
      <c r="FK63" s="88"/>
      <c r="FL63" s="88"/>
      <c r="FM63" s="88"/>
      <c r="FN63" s="88"/>
      <c r="FO63" s="88"/>
      <c r="FP63" s="88"/>
      <c r="FQ63" s="88"/>
      <c r="FR63" s="88">
        <f t="shared" ref="FR63:GH63" si="2638">IFERROR(IF(J63&lt;&gt;"",UPPER(J63),FR$18),FR$18)</f>
        <v>1</v>
      </c>
      <c r="FS63" s="88">
        <f t="shared" si="2638"/>
        <v>2</v>
      </c>
      <c r="FT63" s="88">
        <f t="shared" si="2638"/>
        <v>3</v>
      </c>
      <c r="FU63" s="88">
        <f t="shared" si="2638"/>
        <v>4</v>
      </c>
      <c r="FV63" s="88">
        <f t="shared" si="2638"/>
        <v>5</v>
      </c>
      <c r="FW63" s="88">
        <f t="shared" si="2638"/>
        <v>6</v>
      </c>
      <c r="FX63" s="88">
        <f t="shared" si="2638"/>
        <v>7</v>
      </c>
      <c r="FY63" s="88">
        <f t="shared" si="2638"/>
        <v>8</v>
      </c>
      <c r="FZ63" s="88">
        <f t="shared" si="2638"/>
        <v>9</v>
      </c>
      <c r="GA63" s="88">
        <f t="shared" si="2638"/>
        <v>10</v>
      </c>
      <c r="GB63" s="88">
        <f t="shared" si="2638"/>
        <v>11</v>
      </c>
      <c r="GC63" s="88">
        <f t="shared" si="2638"/>
        <v>12</v>
      </c>
      <c r="GD63" s="88">
        <f t="shared" si="2638"/>
        <v>13</v>
      </c>
      <c r="GE63" s="88">
        <f t="shared" si="2638"/>
        <v>14</v>
      </c>
      <c r="GF63" s="88">
        <f t="shared" si="2638"/>
        <v>15</v>
      </c>
      <c r="GG63" s="88">
        <f t="shared" si="2638"/>
        <v>16</v>
      </c>
      <c r="GH63" s="88">
        <f t="shared" si="2638"/>
        <v>17</v>
      </c>
      <c r="GI63" s="88">
        <f>IFERROR(IF(AK63&lt;&gt;"",UPPER(AK63),GI$18),GI$18)</f>
        <v>18</v>
      </c>
      <c r="GJ63" s="88">
        <f>IFERROR(IF(AL63&lt;&gt;"",UPPER(AL63),GJ$18),GJ$18)</f>
        <v>19</v>
      </c>
      <c r="GK63" s="88">
        <f>IFERROR(IF(AM63&lt;&gt;"",UPPER(AM63),GK$18),GK$18)</f>
        <v>20</v>
      </c>
      <c r="GL63" s="88"/>
      <c r="GM63" s="88"/>
      <c r="GN63" s="88"/>
      <c r="GO63" s="88"/>
      <c r="GP63" s="88"/>
      <c r="GQ63" s="88"/>
      <c r="GR63" s="88"/>
      <c r="GS63" s="88"/>
      <c r="GT63" s="88"/>
      <c r="GU63" s="88"/>
      <c r="GV63" s="88"/>
      <c r="GW63" s="88">
        <f t="shared" ref="GW63:HB63" si="2639">COUNTIF($EK63:$FD63,GW$18)</f>
        <v>0</v>
      </c>
      <c r="GX63" s="88">
        <f t="shared" si="2639"/>
        <v>0</v>
      </c>
      <c r="GY63" s="88">
        <f t="shared" si="2639"/>
        <v>0</v>
      </c>
      <c r="GZ63" s="88">
        <f t="shared" si="2639"/>
        <v>0</v>
      </c>
      <c r="HA63" s="88">
        <f t="shared" si="2639"/>
        <v>0</v>
      </c>
      <c r="HB63" s="88">
        <f t="shared" si="2639"/>
        <v>0</v>
      </c>
      <c r="HC63" s="88"/>
      <c r="HD63" s="88" t="str">
        <f t="shared" ref="HD63" si="2640">IF(AND($F63="Hybrid - Thrust + 2 connections",HD64=0,LEFT($J63,1)="C",LEFT($K63,1)="C",LEFT($L63,1)="C"),"X","")</f>
        <v/>
      </c>
      <c r="HE63" s="88"/>
      <c r="HF63" s="91"/>
      <c r="HG63" s="100"/>
      <c r="HH63" s="100"/>
      <c r="HI63" s="91" t="str">
        <f>IF(E64=3,_xlfn.NUMBERVALUE(LEFT(J63,1)),"")</f>
        <v/>
      </c>
    </row>
    <row r="64" spans="1:222" ht="15" hidden="1" customHeight="1" x14ac:dyDescent="0.35">
      <c r="A64" s="28"/>
      <c r="B64" s="29"/>
      <c r="C64" s="29"/>
      <c r="D64" s="29"/>
      <c r="E64" s="17" t="str">
        <f t="shared" ref="E64" si="2641">IF(F63="Acrobatic - Pair","PA",IF(F63="Acrobatic Airborn","A",IF(F63="Acrobatic Balance","B",IF(F63="Acrobatic Combined","C",IF(F63="Acrobatic Platform","P",IF(F63="Technical Required Element",3,IF(LEFT(F63,4)="Hybr","H","")))))))</f>
        <v/>
      </c>
      <c r="F64" s="17" t="str">
        <f>IF(AND(F63="Hybrid - Thrust + 2 connections",CR63="X"),"Hybrid - Thrust",IF(OR(E64="A",E64="B",E64="C",E64="P"),"Acrobatic",""))</f>
        <v/>
      </c>
      <c r="G64" s="31"/>
      <c r="H64" s="182" t="str">
        <f t="shared" ref="H64" si="2642">IF(E64="PA",IF(OR(LEFT(J63,1)="L",LEFT(J63,1)="S"),"A-Pair-Lift",IF(OR(LEFT(J63,1)="W",LEFT(J63,1)="T"),"A-Pair-Throw",IF(LEFT(J63,1)="J","A-Pair-Jump","A-Pair"))),IF(OR(E64="A",E64="B",E64="C",E64="P"),CONCATENATE("Acro-",E64),""))</f>
        <v/>
      </c>
      <c r="I64" s="176" t="e">
        <f t="shared" ref="I64" si="2643">IF(OR(F63="Hybrid - min 4 swimmers (no DD)",LEFT(F63,5)="Trans"),0,INDEX($BY$3:$BY$9,MATCH(E64,$BX$3:$BX$9,0)))</f>
        <v>#N/A</v>
      </c>
      <c r="J64" s="171">
        <f t="shared" ref="J64:Z64" ca="1" si="2644">IFERROR(IF($H63="No DD",0,IF(OR(ISBLANK(J63),J63="N/A"),0,INDEX(INDIRECT(BI64),MATCH(J63,INDIRECT(BI63),0)))),0)</f>
        <v>0</v>
      </c>
      <c r="K64" s="171">
        <f t="shared" ca="1" si="2644"/>
        <v>0</v>
      </c>
      <c r="L64" s="171">
        <f t="shared" ca="1" si="2644"/>
        <v>0</v>
      </c>
      <c r="M64" s="171">
        <f t="shared" ca="1" si="2644"/>
        <v>0</v>
      </c>
      <c r="N64" s="171">
        <f t="shared" ca="1" si="2644"/>
        <v>0</v>
      </c>
      <c r="O64" s="171">
        <f t="shared" ca="1" si="2644"/>
        <v>0</v>
      </c>
      <c r="P64" s="171">
        <f t="shared" ca="1" si="2644"/>
        <v>0</v>
      </c>
      <c r="Q64" s="171">
        <f t="shared" ca="1" si="2644"/>
        <v>0</v>
      </c>
      <c r="R64" s="171">
        <f t="shared" ca="1" si="2644"/>
        <v>0</v>
      </c>
      <c r="S64" s="171">
        <f t="shared" ca="1" si="2644"/>
        <v>0</v>
      </c>
      <c r="T64" s="171">
        <f t="shared" ca="1" si="2644"/>
        <v>0</v>
      </c>
      <c r="U64" s="171">
        <f t="shared" ca="1" si="2644"/>
        <v>0</v>
      </c>
      <c r="V64" s="171">
        <f t="shared" ca="1" si="2644"/>
        <v>0</v>
      </c>
      <c r="W64" s="171">
        <f t="shared" ca="1" si="2644"/>
        <v>0</v>
      </c>
      <c r="X64" s="171">
        <f t="shared" ca="1" si="2644"/>
        <v>0</v>
      </c>
      <c r="Y64" s="171">
        <f t="shared" ca="1" si="2644"/>
        <v>0</v>
      </c>
      <c r="Z64" s="171">
        <f t="shared" ca="1" si="2644"/>
        <v>0</v>
      </c>
      <c r="AA64" s="171">
        <f ca="1">IFERROR(IF($H63="No DD",0,IF(OR(ISBLANK(AA63),AA63="N/A"),0,INDEX(INDIRECT(BX64),MATCH(AA63,INDIRECT(BX63),0)))),0)</f>
        <v>0</v>
      </c>
      <c r="AB64" s="171">
        <f ca="1">IFERROR(IF($H63="No DD",0,IF(OR(ISBLANK(AB63),AB63="N/A"),0,INDEX(INDIRECT(BY64),MATCH(AB63,INDIRECT(BY63),0)))),0)</f>
        <v>0</v>
      </c>
      <c r="AC64" s="171">
        <f ca="1">IFERROR(IF($H63="No DD",0,IF(OR(ISBLANK(AC63),AC63="N/A"),0,INDEX(INDIRECT(BX64),MATCH(AC63,INDIRECT(BX63),0)))),0)</f>
        <v>0</v>
      </c>
      <c r="AD64" s="171">
        <f ca="1">IFERROR(IF($H63="No DD",0,IF(OR(ISBLANK(AD63),AD63="N/A"),0,INDEX(INDIRECT(BY64),MATCH(AD63,INDIRECT(BY63),0)))),0)</f>
        <v>0</v>
      </c>
      <c r="AE64" s="171">
        <f ca="1">IFERROR(IF($H63="No DD",0,IF(OR(ISBLANK(AE63),AE63="N/A"),0,INDEX(INDIRECT(BX64),MATCH(AE63,INDIRECT(BX63),0)))),0)</f>
        <v>0</v>
      </c>
      <c r="AF64" s="171">
        <f ca="1">IFERROR(IF($H63="No DD",0,IF(OR(ISBLANK(AF63),AF63="N/A"),0,INDEX(INDIRECT(BY64),MATCH(AF63,INDIRECT(BY63),0)))),0)</f>
        <v>0</v>
      </c>
      <c r="AG64" s="171">
        <f ca="1">IFERROR(IF($H63="No DD",0,IF(OR(ISBLANK(AG63),AG63="N/A"),0,INDEX(INDIRECT(BX64),MATCH(AG63,INDIRECT(BX63),0)))),0)</f>
        <v>0</v>
      </c>
      <c r="AH64" s="171">
        <f ca="1">IFERROR(IF($H63="No DD",0,IF(OR(ISBLANK(AH63),AH63="N/A"),0,INDEX(INDIRECT(BY64),MATCH(AH63,INDIRECT(BY63),0)))),0)</f>
        <v>0</v>
      </c>
      <c r="AI64" s="171">
        <f t="shared" ref="AI64" ca="1" si="2645">IFERROR(IF($H63="No DD",0,IF(OR(ISBLANK(AI63),AI63="N/A"),0,INDEX(INDIRECT(BX64),MATCH(AI63,INDIRECT(BX63),0)))),0)</f>
        <v>0</v>
      </c>
      <c r="AJ64" s="171">
        <f t="shared" ref="AJ64" ca="1" si="2646">IFERROR(IF($H63="No DD",0,IF(OR(ISBLANK(AJ63),AJ63="N/A"),0,INDEX(INDIRECT(BY64),MATCH(AJ63,INDIRECT(BY63),0)))),0)</f>
        <v>0</v>
      </c>
      <c r="AK64" s="171">
        <f t="shared" ref="AK64" ca="1" si="2647">IFERROR(IF($H63="No DD",0,IF(OR(ISBLANK(AK63),AK63="N/A"),0,INDEX(INDIRECT(BZ64),MATCH(AK63,INDIRECT(BZ63),0)))),0)</f>
        <v>0</v>
      </c>
      <c r="AL64" s="171">
        <f t="shared" ref="AL64" ca="1" si="2648">IFERROR(IF($H63="No DD",0,IF(OR(ISBLANK(AL63),AL63="N/A"),0,INDEX(INDIRECT(CA64),MATCH(AL63,INDIRECT(CA63),0)))),0)</f>
        <v>0</v>
      </c>
      <c r="AM64" s="171">
        <f t="shared" ref="AM64" ca="1" si="2649">IFERROR(IF($H63="No DD",0,IF(OR(ISBLANK(AM63),AM63="N/A"),0,INDEX(INDIRECT(CB64),MATCH(AM63,INDIRECT(CB63),0)))),0)</f>
        <v>0</v>
      </c>
      <c r="AN64" s="172" t="str">
        <f>IFERROR(IF(E64="H",INDEX(HybridBonus_Value,MATCH(AN63,HybridBonus_Code,0)),""),"")</f>
        <v/>
      </c>
      <c r="AO64" s="276" t="str">
        <f>IFERROR(IF(J63&lt;&gt;"",SUM(I64:AN64),""),"")</f>
        <v/>
      </c>
      <c r="AP64" s="62"/>
      <c r="AQ64" s="62"/>
      <c r="AR64" s="101"/>
      <c r="AS64" s="101"/>
      <c r="AT64" s="101"/>
      <c r="AU64" s="101"/>
      <c r="AV64" s="101"/>
      <c r="AW64" s="101"/>
      <c r="AX64" s="101"/>
      <c r="AY64" s="101"/>
      <c r="AZ64" s="101"/>
      <c r="BA64" s="101"/>
      <c r="BB64" s="101"/>
      <c r="BC64" s="101"/>
      <c r="BD64" s="101"/>
      <c r="BE64" s="101"/>
      <c r="BF64" s="101"/>
      <c r="BG64" s="90"/>
      <c r="BH64" s="101"/>
      <c r="BI64" s="91" t="str">
        <f t="shared" ref="BI64" si="2650">IF($E64="H","HybridDD_Value",IF($E64=3,"TreDD_Value",IF($E64="PA","AcroPair_Value",IF(LEFT($F63,4)="Acro",CONCATENATE(BI$16,$E64,"_Value"),""))))</f>
        <v/>
      </c>
      <c r="BJ64" s="91" t="str">
        <f t="shared" ref="BJ64:BK64" si="2651">IF($E64="H","HybridDD_Value",IF($E64=3,"",IF(LEFT($F63,4)="Acro",CONCATENATE(BJ$16,$E64,"_Value"),IF($E64="PA","",""))))</f>
        <v/>
      </c>
      <c r="BK64" s="91" t="str">
        <f t="shared" si="2651"/>
        <v/>
      </c>
      <c r="BL64" s="91" t="str">
        <f t="shared" ref="BL64:BQ64" si="2652">IF($E64="H","HybridDD_Value",IF($E64=3,"",IF(LEFT($F63,4)="Acro",CONCATENATE(BL$16,$E64,"_Value"),IF($E64="PA","",""))))</f>
        <v/>
      </c>
      <c r="BM64" s="91" t="str">
        <f t="shared" si="2652"/>
        <v/>
      </c>
      <c r="BN64" s="91" t="str">
        <f t="shared" si="2652"/>
        <v/>
      </c>
      <c r="BO64" s="91" t="str">
        <f t="shared" si="2652"/>
        <v/>
      </c>
      <c r="BP64" s="91" t="str">
        <f t="shared" si="2652"/>
        <v/>
      </c>
      <c r="BQ64" s="91" t="str">
        <f t="shared" si="2652"/>
        <v/>
      </c>
      <c r="BR64" s="90" t="str">
        <f t="shared" ref="BR64" si="2653">IF($E64="H","HybridDD_Value","Data!$BI$1:$BI$5")</f>
        <v>Data!$BI$1:$BI$5</v>
      </c>
      <c r="BS64" s="90" t="str">
        <f t="shared" si="2558"/>
        <v>Data!$BI$1:$BI$5</v>
      </c>
      <c r="BT64" s="90" t="str">
        <f t="shared" si="2558"/>
        <v>Data!$BI$1:$BI$5</v>
      </c>
      <c r="BU64" s="90" t="str">
        <f t="shared" si="2558"/>
        <v>Data!$BI$1:$BI$5</v>
      </c>
      <c r="BV64" s="90" t="str">
        <f t="shared" si="2558"/>
        <v>Data!$BI$1:$BI$5</v>
      </c>
      <c r="BW64" s="90" t="str">
        <f t="shared" si="2558"/>
        <v>Data!$BI$1:$BI$5</v>
      </c>
      <c r="BX64" s="90" t="str">
        <f t="shared" si="2558"/>
        <v>Data!$BI$1:$BI$5</v>
      </c>
      <c r="BY64" s="90" t="str">
        <f t="shared" si="2558"/>
        <v>Data!$BI$1:$BI$5</v>
      </c>
      <c r="BZ64" s="90" t="str">
        <f t="shared" si="2558"/>
        <v>Data!$BI$1:$BI$5</v>
      </c>
      <c r="CA64" s="90" t="str">
        <f t="shared" si="2558"/>
        <v>Data!$BI$1:$BI$5</v>
      </c>
      <c r="CB64" s="90" t="str">
        <f t="shared" si="2558"/>
        <v>Data!$BI$1:$BI$5</v>
      </c>
      <c r="CC64" s="90"/>
      <c r="CD64" s="90"/>
      <c r="CE64" s="90"/>
      <c r="CF64" s="90"/>
      <c r="CG64" s="90"/>
      <c r="CH64" s="90"/>
      <c r="CI64" s="90"/>
      <c r="CJ64" s="90"/>
      <c r="CK64" s="90"/>
      <c r="CL64" s="90"/>
      <c r="CM64" s="101"/>
      <c r="CN64" s="101"/>
      <c r="CO64" s="102" t="str">
        <f>IFERROR(IF(AND($BV$6="T",$BV$8="T",LEFT(F63,4)="Acro",AO64&gt;3),"X",IF($N$7="X",IF(AND(E64="C",AO64&gt;$CN$6),"X",IF(AND(E64="A",AO64&gt;$CN$4),"X",IF(AND(E64="B",AO64&gt;$CN$5),"X",IF(AND(E64="P",AO64&gt;$CN$7),"X","")))),"")),"")</f>
        <v/>
      </c>
      <c r="CP64" s="93"/>
      <c r="CQ64" s="91"/>
      <c r="CS64" s="91"/>
      <c r="CT64" s="91"/>
      <c r="CU64" s="91"/>
      <c r="CV64" s="91"/>
      <c r="CW64" s="91"/>
      <c r="CX64" s="91"/>
      <c r="CY64" s="91"/>
      <c r="CZ64" s="91"/>
      <c r="DD64" s="88" t="str">
        <f t="shared" si="2030"/>
        <v/>
      </c>
      <c r="DE64" s="88" t="str">
        <f t="shared" si="2031"/>
        <v/>
      </c>
      <c r="DF64" s="88" t="str">
        <f t="shared" si="2032"/>
        <v/>
      </c>
      <c r="DG64" s="88" t="str">
        <f t="shared" si="2033"/>
        <v/>
      </c>
      <c r="DO64" s="88">
        <v>46</v>
      </c>
      <c r="EI64" s="88" t="str" cm="1">
        <f t="array" ref="EI64">IFERROR(INDEX(EK64:FD64,MATCH(TRUE,INDEX((EK64:FD64&lt;&gt;""),),0)),"")</f>
        <v/>
      </c>
      <c r="EK64" s="88" t="str">
        <f t="shared" ref="EK64:FD64" si="2654">IF(F63="Hybrid - Thrust + 2 connections",IF(COUNTIF($EK63:$FD63,EK63)&gt;1,EK63,""),IF(COUNTIF($EK63:$FD63,EK63)&gt;5,EK63,""))</f>
        <v/>
      </c>
      <c r="EL64" s="88" t="str">
        <f t="shared" si="2654"/>
        <v/>
      </c>
      <c r="EM64" s="88" t="str">
        <f t="shared" si="2654"/>
        <v/>
      </c>
      <c r="EN64" s="88" t="str">
        <f t="shared" si="2654"/>
        <v/>
      </c>
      <c r="EO64" s="88" t="str">
        <f t="shared" si="2654"/>
        <v/>
      </c>
      <c r="EP64" s="88" t="str">
        <f t="shared" si="2654"/>
        <v/>
      </c>
      <c r="EQ64" s="88" t="str">
        <f t="shared" si="2654"/>
        <v/>
      </c>
      <c r="ER64" s="88" t="str">
        <f t="shared" si="2654"/>
        <v/>
      </c>
      <c r="ES64" s="88" t="str">
        <f t="shared" si="2654"/>
        <v/>
      </c>
      <c r="ET64" s="88" t="str">
        <f t="shared" si="2654"/>
        <v/>
      </c>
      <c r="EU64" s="88" t="str">
        <f t="shared" si="2654"/>
        <v/>
      </c>
      <c r="EV64" s="88" t="str">
        <f t="shared" si="2654"/>
        <v/>
      </c>
      <c r="EW64" s="88" t="str">
        <f t="shared" si="2654"/>
        <v/>
      </c>
      <c r="EX64" s="88" t="str">
        <f t="shared" si="2654"/>
        <v/>
      </c>
      <c r="EY64" s="88" t="str">
        <f t="shared" si="2654"/>
        <v/>
      </c>
      <c r="EZ64" s="88" t="str">
        <f t="shared" si="2654"/>
        <v/>
      </c>
      <c r="FA64" s="88" t="str">
        <f t="shared" si="2654"/>
        <v/>
      </c>
      <c r="FB64" s="88" t="str">
        <f t="shared" si="2654"/>
        <v/>
      </c>
      <c r="FC64" s="88" t="str">
        <f t="shared" si="2654"/>
        <v/>
      </c>
      <c r="FD64" s="88" t="str">
        <f t="shared" si="2654"/>
        <v/>
      </c>
      <c r="FE64" s="88"/>
      <c r="FF64" s="88"/>
      <c r="FG64" s="88"/>
      <c r="FH64" s="88"/>
      <c r="FI64" s="88"/>
      <c r="FJ64" s="88"/>
      <c r="FK64" s="88"/>
      <c r="FL64" s="88"/>
      <c r="FM64" s="88"/>
      <c r="FN64" s="88"/>
      <c r="FO64" s="88"/>
      <c r="FP64" s="88"/>
      <c r="FQ64" s="88" t="str" cm="1">
        <f t="array" ref="FQ64">IFERROR(INDEX(FR64:GK64,MATCH(TRUE,INDEX((FR64:GK64&lt;&gt;""),),0)),"")</f>
        <v/>
      </c>
      <c r="FR64" s="88" t="str">
        <f t="shared" ref="FR64:GK64" si="2655">IF(COUNTIF($FR63:$GK63,FR63)&gt;3,FR63,"")</f>
        <v/>
      </c>
      <c r="FS64" s="88" t="str">
        <f t="shared" si="2655"/>
        <v/>
      </c>
      <c r="FT64" s="88" t="str">
        <f t="shared" si="2655"/>
        <v/>
      </c>
      <c r="FU64" s="88" t="str">
        <f t="shared" si="2655"/>
        <v/>
      </c>
      <c r="FV64" s="88" t="str">
        <f t="shared" si="2655"/>
        <v/>
      </c>
      <c r="FW64" s="88" t="str">
        <f t="shared" si="2655"/>
        <v/>
      </c>
      <c r="FX64" s="88" t="str">
        <f t="shared" si="2655"/>
        <v/>
      </c>
      <c r="FY64" s="88" t="str">
        <f t="shared" si="2655"/>
        <v/>
      </c>
      <c r="FZ64" s="88" t="str">
        <f t="shared" si="2655"/>
        <v/>
      </c>
      <c r="GA64" s="88" t="str">
        <f t="shared" si="2655"/>
        <v/>
      </c>
      <c r="GB64" s="88" t="str">
        <f t="shared" si="2655"/>
        <v/>
      </c>
      <c r="GC64" s="88" t="str">
        <f t="shared" si="2655"/>
        <v/>
      </c>
      <c r="GD64" s="88" t="str">
        <f t="shared" si="2655"/>
        <v/>
      </c>
      <c r="GE64" s="88" t="str">
        <f t="shared" si="2655"/>
        <v/>
      </c>
      <c r="GF64" s="88" t="str">
        <f t="shared" si="2655"/>
        <v/>
      </c>
      <c r="GG64" s="88" t="str">
        <f t="shared" si="2655"/>
        <v/>
      </c>
      <c r="GH64" s="88" t="str">
        <f t="shared" si="2655"/>
        <v/>
      </c>
      <c r="GI64" s="88" t="str">
        <f t="shared" si="2655"/>
        <v/>
      </c>
      <c r="GJ64" s="88" t="str">
        <f t="shared" si="2655"/>
        <v/>
      </c>
      <c r="GK64" s="88" t="str">
        <f t="shared" si="2655"/>
        <v/>
      </c>
      <c r="GL64" s="88"/>
      <c r="GM64" s="88"/>
      <c r="GN64" s="88"/>
      <c r="GO64" s="88"/>
      <c r="GP64" s="88"/>
      <c r="GQ64" s="88"/>
      <c r="GR64" s="88"/>
      <c r="GS64" s="88"/>
      <c r="GT64" s="88"/>
      <c r="GU64" s="88"/>
      <c r="GV64" s="88"/>
      <c r="GW64" s="88"/>
      <c r="GX64" s="88"/>
      <c r="GY64" s="88"/>
      <c r="GZ64" s="88"/>
      <c r="HA64" s="88"/>
      <c r="HB64" s="88"/>
      <c r="HC64" s="88"/>
      <c r="HD64" s="88" t="str">
        <f>IF($F63="Hybrid - Thrust + 2 connections",COUNTBLANK(J63:L63),"")</f>
        <v/>
      </c>
      <c r="HE64" s="88"/>
      <c r="HF64" s="91"/>
      <c r="HG64" s="91"/>
      <c r="HH64" s="91"/>
      <c r="HI64" s="91"/>
    </row>
    <row r="65" spans="1:231" ht="15" hidden="1" customHeight="1" x14ac:dyDescent="0.35">
      <c r="A65" s="28" t="str">
        <f>IF(AND(E63="",A63&lt;&gt;""),IF(CP63=$CP$18,"",IF(C63&lt;&gt;"",IF(D63=59,MINUTE(CP63)+1,MINUTE(CP63)),"")),"")</f>
        <v/>
      </c>
      <c r="B65" s="29" t="str">
        <f>IF(AND(E63="",B63&lt;&gt;""),IF(CP63=$CP$18,"",IF(C63&lt;&gt;"",IF(D63=59,0,SECOND(CP63)+1),"")),"")</f>
        <v/>
      </c>
      <c r="C65" s="39"/>
      <c r="D65" s="39"/>
      <c r="E65" s="9"/>
      <c r="F65" s="40"/>
      <c r="G65" s="31" t="str">
        <f>IF(F65&lt;&gt;"",IF(OR(F65="Transition",F65="Transition - Surface Connection"),0,MAX($G$19:G64)+1),"")</f>
        <v/>
      </c>
      <c r="H65" s="43" t="str">
        <f t="shared" ref="H65" si="2656">IFERROR(IF(E66="3","",IF(OR(F65="Hybrid - min 4 swimmers (no DD)",LEFT(F65,5)="Trans"),"No DD",CONCATENATE("BM = ",I66))),"")</f>
        <v/>
      </c>
      <c r="I65" s="44"/>
      <c r="J65" s="109"/>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58"/>
      <c r="AO65" s="32"/>
      <c r="AP65" s="61"/>
      <c r="AQ65" s="61"/>
      <c r="AR65" s="90"/>
      <c r="AS65" s="90"/>
      <c r="AT65" s="90"/>
      <c r="AU65" s="90"/>
      <c r="AV65" s="90"/>
      <c r="AW65" s="90"/>
      <c r="AX65" s="90"/>
      <c r="AY65" s="90"/>
      <c r="AZ65" s="90"/>
      <c r="BA65" s="90"/>
      <c r="BB65" s="90"/>
      <c r="BC65" s="90"/>
      <c r="BD65" s="90"/>
      <c r="BE65" s="90"/>
      <c r="BF65" s="90"/>
      <c r="BG65" s="90" t="str">
        <f>IFERROR(IF(F65&lt;&gt;"",INDEX(Parts_Active,MATCH(F65,Parts_Active,0)),""),"No")</f>
        <v/>
      </c>
      <c r="BH65" s="90"/>
      <c r="BI65" s="90" t="str">
        <f t="shared" ref="BI65" si="2657">IF($E66="H",IF($F65="Hybrid - Thrust + 2 connections","Hybrid_Mix_Req","HybridDD_Code"),IF($E66=3,"TreDD_Code",IF($E66="PA","AcroPair_Code",IF(LEFT($F65,4)="Acro",CONCATENATE(BI$16,$E66,"_Code"),"Data!$BI$1:$BI$5"))))</f>
        <v>Data!$BI$1:$BI$5</v>
      </c>
      <c r="BJ65" s="90" t="str">
        <f t="shared" ref="BJ65" si="2658">IF($E66="H",IF($F65="Hybrid - Thrust + 2 connections","Hybrid_Mix_Req","HybridDD_Code"),IF($E66=3,"TreDD_Code",IF($E66="PA","AcroPair_Code",IF(LEFT($F65,4)="Acro",CONCATENATE(BJ$16,$E66,"_Code"),"Data!$BI$1:$BI$5"))))</f>
        <v>Data!$BI$1:$BI$5</v>
      </c>
      <c r="BK65" s="90" t="str">
        <f t="shared" ref="BK65" si="2659">IF($E66="H",IF($F65="Hybrid - Thrust + 2 connections","Hybrid_Mix_Req","HybridDD_Code"),IF($E66=3,"TreDD_Code",IF($E66="PA","AcroPair_Code",IF(LEFT($F65,4)="Acro",CONCATENATE(BK$16,$E66,"_Code"),"Data!$BI$1:$BI$5"))))</f>
        <v>Data!$BI$1:$BI$5</v>
      </c>
      <c r="BL65" s="90" t="str">
        <f t="shared" ref="BL65" si="2660">IF($E66="H",IF($F65="Hybrid - Thrust + 2 connections","Data!$BI$1:$BI$5","HybridDD_Code"),IF($E66=3,"Data!$BI$1:$BI$5",IF(LEFT($F65,4)="Acro",CONCATENATE(BL$16,$E66,"_Code"),IF($E66="PA","","Data!$BI$1:$BI$5"))))</f>
        <v>Data!$BI$1:$BI$5</v>
      </c>
      <c r="BM65" s="90" t="str">
        <f t="shared" ref="BM65" si="2661">IF($E66="H",IF($F65="Hybrid - Thrust + 2 connections","Data!$BI$1:$BI$5","HybridDD_Code"),IF($E66=3,"Data!$BI$1:$BI$5",IF(LEFT($F65,4)="Acro",CONCATENATE(BM$16,$E66,"_Code"),IF($E66="PA","","Data!$BI$1:$BI$5"))))</f>
        <v>Data!$BI$1:$BI$5</v>
      </c>
      <c r="BN65" s="90" t="str">
        <f t="shared" ref="BN65" si="2662">IF($E66="H",IF($F65="Hybrid - Thrust + 2 connections","Data!$BI$1:$BI$5","HybridDD_Code"),IF($E66=3,"Data!$BI$1:$BI$5",IF(LEFT($F65,4)="Acro",CONCATENATE(BN$16,$E66,"_Code"),IF($E66="PA","","Data!$BI$1:$BI$5"))))</f>
        <v>Data!$BI$1:$BI$5</v>
      </c>
      <c r="BO65" s="90" t="str">
        <f t="shared" ref="BO65" si="2663">IF($E66="H",IF($F65="Hybrid - Thrust + 2 connections","Data!$BI$1:$BI$5","HybridDD_Code"),IF($E66=3,"Data!$BI$1:$BI$5",IF(LEFT($F65,4)="Acro",CONCATENATE(BO$16,$E66,"_Code"),IF($E66="PA","","Data!$BI$1:$BI$5"))))</f>
        <v>Data!$BI$1:$BI$5</v>
      </c>
      <c r="BP65" s="90" t="str">
        <f t="shared" ref="BP65" si="2664">IF($E66="H",IF($F65="Hybrid - Thrust + 2 connections","Data!$BI$1:$BI$5","HybridDD_Code"),IF($E66=3,"Data!$BI$1:$BI$5",IF(LEFT($F65,4)="Acro",CONCATENATE(BP$16,$E66,"_Code"),IF($E66="PA","","Data!$BI$1:$BI$5"))))</f>
        <v>Data!$BI$1:$BI$5</v>
      </c>
      <c r="BQ65" s="90" t="str">
        <f t="shared" ref="BQ65" si="2665">IF($E66="H",IF($F65="Hybrid - Thrust + 2 connections","Data!$BI$1:$BI$5","HybridDD_Code"),IF($E66=3,"Data!$BI$1:$BI$5",IF(LEFT($F65,4)="Acro",CONCATENATE(BQ$16,$E66,"_Code"),IF($E66="PA","","Data!$BI$1:$BI$5"))))</f>
        <v>Data!$BI$1:$BI$5</v>
      </c>
      <c r="BR65" s="90" t="str">
        <f t="shared" ref="BR65" si="2666">IF($E66="H",IF($F65="Hybrid - Thrust + 2 connections","Data!$BI$1:$BI$5","HybridDD_Code"),"Data!$BI$1:$BI$5")</f>
        <v>Data!$BI$1:$BI$5</v>
      </c>
      <c r="BS65" s="90" t="str">
        <f t="shared" si="2558"/>
        <v>Data!$BI$1:$BI$5</v>
      </c>
      <c r="BT65" s="90" t="str">
        <f t="shared" si="2558"/>
        <v>Data!$BI$1:$BI$5</v>
      </c>
      <c r="BU65" s="90" t="str">
        <f t="shared" si="2558"/>
        <v>Data!$BI$1:$BI$5</v>
      </c>
      <c r="BV65" s="90" t="str">
        <f t="shared" si="2558"/>
        <v>Data!$BI$1:$BI$5</v>
      </c>
      <c r="BW65" s="90" t="str">
        <f t="shared" si="2558"/>
        <v>Data!$BI$1:$BI$5</v>
      </c>
      <c r="BX65" s="90" t="str">
        <f t="shared" si="2558"/>
        <v>Data!$BI$1:$BI$5</v>
      </c>
      <c r="BY65" s="90" t="str">
        <f t="shared" si="2558"/>
        <v>Data!$BI$1:$BI$5</v>
      </c>
      <c r="BZ65" s="90" t="str">
        <f t="shared" si="2558"/>
        <v>Data!$BI$1:$BI$5</v>
      </c>
      <c r="CA65" s="90" t="str">
        <f t="shared" si="2558"/>
        <v>Data!$BI$1:$BI$5</v>
      </c>
      <c r="CB65" s="90" t="str">
        <f t="shared" si="2558"/>
        <v>Data!$BI$1:$BI$5</v>
      </c>
      <c r="CC65" s="90"/>
      <c r="CD65" s="90"/>
      <c r="CE65" s="90"/>
      <c r="CF65" s="90"/>
      <c r="CG65" s="90"/>
      <c r="CH65" s="90"/>
      <c r="CI65" s="90"/>
      <c r="CJ65" s="90"/>
      <c r="CK65" s="90"/>
      <c r="CL65" s="90"/>
      <c r="CM65" s="90"/>
      <c r="CN65" s="90"/>
      <c r="CO65" s="93" t="str">
        <f>IFERROR(TIME(0,A65,B65),"")</f>
        <v/>
      </c>
      <c r="CP65" s="94">
        <f>IFERROR(TIME(0,C65,D65),"")</f>
        <v>0</v>
      </c>
      <c r="CQ65" s="94" t="str">
        <f t="shared" ref="CQ65" si="2667">IF(CP65&gt;$D$12,"X","")</f>
        <v/>
      </c>
      <c r="CR65" s="88" t="str">
        <f>IF(AND(F65="Hybrid - Thrust + 2 connections",OR(LEFT(J65,1)="T",LEFT(K65,1)="T",LEFT(L65,1)="T",LEFT(PB65,1)="T",LEFT(M65,1)="T",LEFT(N65,1)="T",LEFT(O65,1)="T",LEFT(P65,1)="T",LEFT(Q65,1)="T",LEFT(R65,1)="T",LEFT(S65,1)="T",LEFT(T65,1)="T",LEFT(U65,1)="T",LEFT(V65,1)="T",LEFT(W65,1)="T",LEFT(X65,1)="T",LEFT(AK65,1)="T",LEFT(AL65,1)="T",LEFT(AM65,1)="T")),IF(OR(LEN(J65)=2,LEN(K65)=2,LEN(L65)=2,LEN(M65)=2,LEN(N65)=2,LEN(O65)=2,LEN(P65)=2,LEN(Q65)=2,LEN(R65)=2,LEN(S65)=2,LEN(T65)=2,LEN(U65)=2,LEN(V65)=2,LEN(W65)=2,LEN(X65)=2,LEN(Y65)=2,LEN(Z65)=2,LEN(AK65)=2,LEN(AL65)=2,LEN(AM65)=2),"X",""),"")</f>
        <v/>
      </c>
      <c r="CS65" s="91"/>
      <c r="CT65" s="88" t="str">
        <f>IF(LEFT(F65,4)="Acro",IF(AND(N65&lt;&gt;"",M65=RIGHT(N65,2)),"X","OK"),"")</f>
        <v/>
      </c>
      <c r="CU65" s="90" t="str">
        <f t="shared" ref="CU65:DB65" si="2668">IFERROR(IF(AND(LEFT($F65,4)="Acro",INDEX(Requ_App,MATCH(BI65,Requ_Code,0))="No"),"X",""),"")</f>
        <v/>
      </c>
      <c r="CV65" s="90" t="str">
        <f t="shared" si="2668"/>
        <v/>
      </c>
      <c r="CW65" s="90" t="str">
        <f t="shared" si="2668"/>
        <v/>
      </c>
      <c r="CX65" s="90" t="str">
        <f t="shared" si="2668"/>
        <v/>
      </c>
      <c r="CY65" s="90" t="str">
        <f t="shared" si="2668"/>
        <v/>
      </c>
      <c r="CZ65" s="90" t="str">
        <f t="shared" si="2668"/>
        <v/>
      </c>
      <c r="DA65" s="90" t="str">
        <f t="shared" si="2668"/>
        <v/>
      </c>
      <c r="DB65" s="90" t="str">
        <f t="shared" si="2668"/>
        <v/>
      </c>
      <c r="DC65" s="90" t="str">
        <f>IFERROR(IF(AND(LEFT($F65,4)="Acro",INDEX(Requ_App,MATCH(BP65,Requ_Code,0))="No"),"X",""),"")</f>
        <v/>
      </c>
      <c r="DD65" s="88" t="str">
        <f t="shared" si="2030"/>
        <v/>
      </c>
      <c r="DE65" s="88" t="str">
        <f t="shared" si="2031"/>
        <v/>
      </c>
      <c r="DF65" s="88" t="str">
        <f t="shared" si="2032"/>
        <v/>
      </c>
      <c r="DG65" s="88" t="str">
        <f t="shared" si="2033"/>
        <v/>
      </c>
      <c r="DK65" s="88">
        <f>IF(AND(E66="A",OR(Q65="Grip",Q65="Conn",Q65="Catch")),"A1",IF(AND(E66="A",OR(Q65="Hula",Q65="RetSq",Q65="RetPa")),"A2",IF(AND(E66="B",OR(Q65="Twirl",Q65="RotF")),"B1",IF(AND(E66="B",OR(Q65="Moon",Q65="Mov")),"B2",IF(AND(E66="B",Q65="Hold"),"B3",IF(AND(E66="P",OR(Q65="Porp",Q65="Spich")),"P1",IF(AND(E66="P",OR(Q65="Diva",Q65="Ps1",Q65="Ps1t0.5",Q65="Ps1op",Q65="Ps1t0,5o",Q65="Ps1t1",Q65="CH+")),"P2",IF(AND(E66="P",OR(Q65="Spider",Q65="Climb")),"P3",IF(AND(E66="P",OR(Q65="Fall",Q65="FTurn")),"P4",IF(AND(E66="C",OR(Q65="Jump",Q65="Jump&gt;",Q65="On1Foot",Q65="1F&gt;1F")),"C1",IF(AND(E66="C",OR(Q65="Run",Q65="BRun")),"C2",1)))))))))))</f>
        <v>1</v>
      </c>
      <c r="DL65" s="88">
        <f>IF(AND(E66="A",OR(R65="Grip",R65="Conn",R65="Catch")),"A1",IF(AND(E66="A",OR(R65="Hula",R65="RetSq",R65="RetPa")),"A2",IF(AND(E66="B",OR(R65="Twirl",R65="RotF")),"B1",IF(AND(E66="B",OR(R65="Moon",R65="Mov")),"B3",IF(AND(E66="B",R65="Hold"),"B2",IF(AND(E66="P",OR(R65="Porp",R65="Spich")),"P1",IF(AND(E66="P",OR(R65="Diva",R65="Ps1",R65="Ps1t0.5",R65="Ps1op",R65="Ps1t0,5o",R65="Ps1t1",R65="CH+")),"P2",IF(AND(E66="P",OR(R65="Spider",R65="Climb")),"P3",IF(AND(E66="P",OR(R65="Fall",R65="FTurn")),"P4",IF(AND(E66="C",OR(R65="Jump",R65="Jump&gt;",R65="On1Foot",R65="1F&gt;1F")),"C1",IF(AND(E66="C",OR(R65="Run",R65="BRun")),"C2",2)))))))))))</f>
        <v>2</v>
      </c>
      <c r="DM65" s="88" t="str">
        <f>IF(AND(LEFT(F65,4)="Acro",Q65&lt;&gt;"",OR(Q65=R65,DK65=DL65)),IF(R65="C-Roll","","X"),IF(OR(AND(E66="A",Q65="Catch",R65&lt;&gt;"Dbl"),AND(E66="A",R65="Catch",Q65&lt;&gt;"Dbl")),"X",""))</f>
        <v/>
      </c>
      <c r="DN65" s="88" t="str">
        <f>IF(E66="PA",J65,"")</f>
        <v/>
      </c>
      <c r="DO65" s="88">
        <v>47</v>
      </c>
      <c r="DQ65" s="88" t="str">
        <f>IF(AND($E66="A",COUNTIF($DZ$19:$EA$68,DZ65)&gt;1),DZ65,"")</f>
        <v/>
      </c>
      <c r="DR65" s="88" t="str">
        <f>IF(AND($E66="A",COUNTIF($DZ$19:$EA$68,EA65)&gt;1),EA65,"")</f>
        <v/>
      </c>
      <c r="DS65" s="88" t="str">
        <f ca="1">IF(AND($E66="B",COUNTIF($J$19:$J$68,J65)&gt;1),J65,"")</f>
        <v/>
      </c>
      <c r="DT65" s="88" t="str">
        <f ca="1">IF(AND($E66="B",COUNTIF($K$19:$K$68,K65)&gt;1),K65,"")</f>
        <v/>
      </c>
      <c r="DU65" s="88" t="str">
        <f ca="1">IF(AND($E66="C",COUNTIF($J$19:$J$68,J65)&gt;1),J65,"")</f>
        <v/>
      </c>
      <c r="DV65" s="88" t="str">
        <f ca="1">IF(AND($E66="P",COUNTIF($J$19:$J$68,J65)&gt;1),J65,"")</f>
        <v/>
      </c>
      <c r="DW65" s="88" t="str">
        <f ca="1">IF(AND($E66="P",COUNTIF($K$19:$K$68,K65)&gt;1),K65,"")</f>
        <v/>
      </c>
      <c r="DX65" s="88" t="str">
        <f>IF(AND($E66="P",COUNTIF($DZ$19:$EA$68,DZ65)&gt;1),DZ65,"")</f>
        <v/>
      </c>
      <c r="DY65" s="88" t="str">
        <f>IF(AND($E66="P",COUNTIF($DZ$19:$EA$68,EA65)&gt;1),EA65,"")</f>
        <v/>
      </c>
      <c r="DZ65" s="88" t="str">
        <f>IFERROR(IF(OR(E66="A",E66="P"),M65,""),"")</f>
        <v/>
      </c>
      <c r="EA65" s="88" t="str">
        <f>IFERROR(IF(OR(E66="A",E66="P"),RIGHT(N65,2),""),"")</f>
        <v/>
      </c>
      <c r="EF65" s="88" t="str">
        <f>IF(AND($F$8="Open Team Acrobatic",LEFT(F65,4)="Acro"),E66,"")</f>
        <v/>
      </c>
      <c r="EG65" s="88" t="str">
        <f t="shared" ref="EG65" si="2669">IFERROR(IF(HLOOKUP(EF65,$DQ$12:$DT$13,2,FALSE)&gt;2,"X",""),"")</f>
        <v/>
      </c>
      <c r="EI65" s="88" t="str">
        <f>IF(OR(AND(F65="Hybrid - Thrust + 2 connections",EI66="T"),AND(F65="Hybrid - Free",EI66&lt;&gt;"")),"X","")</f>
        <v/>
      </c>
      <c r="EK65" s="88">
        <f t="shared" ref="EK65:FA65" si="2670">IFERROR(IF(AND($E66="H",J65&lt;&gt;""),IF(OR(LEFT(J65,1)="T",LEFT(J65,1)="S",LEFT(J65,1)="A",LEFT(J65,1)="F",LEFT(J65,1)="C"),LEFT(J65,1),"R"),EK$18),"")</f>
        <v>1</v>
      </c>
      <c r="EL65" s="88">
        <f t="shared" si="2670"/>
        <v>2</v>
      </c>
      <c r="EM65" s="88">
        <f t="shared" si="2670"/>
        <v>3</v>
      </c>
      <c r="EN65" s="88">
        <f t="shared" si="2670"/>
        <v>4</v>
      </c>
      <c r="EO65" s="88">
        <f t="shared" si="2670"/>
        <v>5</v>
      </c>
      <c r="EP65" s="88">
        <f t="shared" si="2670"/>
        <v>6</v>
      </c>
      <c r="EQ65" s="88">
        <f t="shared" si="2670"/>
        <v>7</v>
      </c>
      <c r="ER65" s="88">
        <f t="shared" si="2670"/>
        <v>8</v>
      </c>
      <c r="ES65" s="88">
        <f t="shared" si="2670"/>
        <v>9</v>
      </c>
      <c r="ET65" s="88">
        <f t="shared" si="2670"/>
        <v>10</v>
      </c>
      <c r="EU65" s="88">
        <f t="shared" si="2670"/>
        <v>11</v>
      </c>
      <c r="EV65" s="88">
        <f t="shared" si="2670"/>
        <v>12</v>
      </c>
      <c r="EW65" s="88">
        <f t="shared" si="2670"/>
        <v>13</v>
      </c>
      <c r="EX65" s="88">
        <f t="shared" si="2670"/>
        <v>14</v>
      </c>
      <c r="EY65" s="88">
        <f t="shared" si="2670"/>
        <v>15</v>
      </c>
      <c r="EZ65" s="88">
        <f t="shared" si="2670"/>
        <v>16</v>
      </c>
      <c r="FA65" s="88">
        <f t="shared" si="2670"/>
        <v>17</v>
      </c>
      <c r="FB65" s="88">
        <f t="shared" ref="FB65" si="2671">IFERROR(IF(AND($E66="H",AK65&lt;&gt;""),IF(OR(LEFT(AK65,1)="T",LEFT(AK65,1)="S",LEFT(AK65,1)="A",LEFT(AK65,1)="F",LEFT(AK65,1)="C"),LEFT(AK65,1),"R"),FB$18),"")</f>
        <v>18</v>
      </c>
      <c r="FC65" s="88">
        <f t="shared" ref="FC65" si="2672">IFERROR(IF(AND($E66="H",AL65&lt;&gt;""),IF(OR(LEFT(AL65,1)="T",LEFT(AL65,1)="S",LEFT(AL65,1)="A",LEFT(AL65,1)="F",LEFT(AL65,1)="C"),LEFT(AL65,1),"R"),FC$18),"")</f>
        <v>19</v>
      </c>
      <c r="FD65" s="88">
        <f t="shared" ref="FD65" si="2673">IFERROR(IF(AND($E66="H",AM65&lt;&gt;""),IF(OR(LEFT(AM65,1)="T",LEFT(AM65,1)="S",LEFT(AM65,1)="A",LEFT(AM65,1)="F",LEFT(AM65,1)="C"),LEFT(AM65,1),"R"),FD$18),"")</f>
        <v>20</v>
      </c>
      <c r="FE65" s="88"/>
      <c r="FF65" s="88"/>
      <c r="FG65" s="88"/>
      <c r="FH65" s="88"/>
      <c r="FI65" s="88"/>
      <c r="FJ65" s="88"/>
      <c r="FK65" s="88"/>
      <c r="FL65" s="88"/>
      <c r="FM65" s="88"/>
      <c r="FN65" s="88"/>
      <c r="FO65" s="88"/>
      <c r="FP65" s="88"/>
      <c r="FQ65" s="88"/>
      <c r="FR65" s="88">
        <f t="shared" ref="FR65:GH65" si="2674">IFERROR(IF(J65&lt;&gt;"",UPPER(J65),FR$18),FR$18)</f>
        <v>1</v>
      </c>
      <c r="FS65" s="88">
        <f t="shared" si="2674"/>
        <v>2</v>
      </c>
      <c r="FT65" s="88">
        <f t="shared" si="2674"/>
        <v>3</v>
      </c>
      <c r="FU65" s="88">
        <f t="shared" si="2674"/>
        <v>4</v>
      </c>
      <c r="FV65" s="88">
        <f t="shared" si="2674"/>
        <v>5</v>
      </c>
      <c r="FW65" s="88">
        <f t="shared" si="2674"/>
        <v>6</v>
      </c>
      <c r="FX65" s="88">
        <f t="shared" si="2674"/>
        <v>7</v>
      </c>
      <c r="FY65" s="88">
        <f t="shared" si="2674"/>
        <v>8</v>
      </c>
      <c r="FZ65" s="88">
        <f t="shared" si="2674"/>
        <v>9</v>
      </c>
      <c r="GA65" s="88">
        <f t="shared" si="2674"/>
        <v>10</v>
      </c>
      <c r="GB65" s="88">
        <f t="shared" si="2674"/>
        <v>11</v>
      </c>
      <c r="GC65" s="88">
        <f t="shared" si="2674"/>
        <v>12</v>
      </c>
      <c r="GD65" s="88">
        <f t="shared" si="2674"/>
        <v>13</v>
      </c>
      <c r="GE65" s="88">
        <f t="shared" si="2674"/>
        <v>14</v>
      </c>
      <c r="GF65" s="88">
        <f t="shared" si="2674"/>
        <v>15</v>
      </c>
      <c r="GG65" s="88">
        <f t="shared" si="2674"/>
        <v>16</v>
      </c>
      <c r="GH65" s="88">
        <f t="shared" si="2674"/>
        <v>17</v>
      </c>
      <c r="GI65" s="88">
        <f>IFERROR(IF(AK65&lt;&gt;"",UPPER(AK65),GI$18),GI$18)</f>
        <v>18</v>
      </c>
      <c r="GJ65" s="88">
        <f>IFERROR(IF(AL65&lt;&gt;"",UPPER(AL65),GJ$18),GJ$18)</f>
        <v>19</v>
      </c>
      <c r="GK65" s="88">
        <f>IFERROR(IF(AM65&lt;&gt;"",UPPER(AM65),GK$18),GK$18)</f>
        <v>20</v>
      </c>
      <c r="GL65" s="88"/>
      <c r="GM65" s="88"/>
      <c r="GN65" s="88"/>
      <c r="GO65" s="88"/>
      <c r="GP65" s="88"/>
      <c r="GQ65" s="88"/>
      <c r="GR65" s="88"/>
      <c r="GS65" s="88"/>
      <c r="GT65" s="88"/>
      <c r="GU65" s="88"/>
      <c r="GV65" s="88"/>
      <c r="GW65" s="88">
        <f t="shared" ref="GW65:HB65" si="2675">COUNTIF($EK65:$FD65,GW$18)</f>
        <v>0</v>
      </c>
      <c r="GX65" s="88">
        <f t="shared" si="2675"/>
        <v>0</v>
      </c>
      <c r="GY65" s="88">
        <f t="shared" si="2675"/>
        <v>0</v>
      </c>
      <c r="GZ65" s="88">
        <f t="shared" si="2675"/>
        <v>0</v>
      </c>
      <c r="HA65" s="88">
        <f t="shared" si="2675"/>
        <v>0</v>
      </c>
      <c r="HB65" s="88">
        <f t="shared" si="2675"/>
        <v>0</v>
      </c>
      <c r="HC65" s="88"/>
      <c r="HD65" s="88" t="str">
        <f t="shared" ref="HD65" si="2676">IF(AND($F65="Hybrid - Thrust + 2 connections",HD66=0,LEFT($J65,1)="C",LEFT($K65,1)="C",LEFT($L65,1)="C"),"X","")</f>
        <v/>
      </c>
      <c r="HE65" s="88"/>
      <c r="HF65" s="91"/>
      <c r="HG65" s="100"/>
      <c r="HH65" s="100"/>
      <c r="HI65" s="91" t="str">
        <f>IF(E66=3,_xlfn.NUMBERVALUE(LEFT(J65,1)),"")</f>
        <v/>
      </c>
    </row>
    <row r="66" spans="1:231" ht="15" hidden="1" customHeight="1" x14ac:dyDescent="0.35">
      <c r="A66" s="28"/>
      <c r="B66" s="29"/>
      <c r="C66" s="29"/>
      <c r="D66" s="29"/>
      <c r="E66" s="17" t="str">
        <f t="shared" ref="E66" si="2677">IF(F65="Acrobatic - Pair","PA",IF(F65="Acrobatic Airborn","A",IF(F65="Acrobatic Balance","B",IF(F65="Acrobatic Combined","C",IF(F65="Acrobatic Platform","P",IF(F65="Technical Required Element",3,IF(LEFT(F65,4)="Hybr","H","")))))))</f>
        <v/>
      </c>
      <c r="F66" s="17" t="str">
        <f>IF(AND(F65="Hybrid - Thrust + 2 connections",CR65="X"),"Hybrid - Thrust",IF(OR(E66="A",E66="B",E66="C",E66="P"),"Acrobatic",""))</f>
        <v/>
      </c>
      <c r="G66" s="31"/>
      <c r="H66" s="182" t="str">
        <f t="shared" ref="H66" si="2678">IF(E66="PA",IF(OR(LEFT(J65,1)="L",LEFT(J65,1)="S"),"A-Pair-Lift",IF(OR(LEFT(J65,1)="W",LEFT(J65,1)="T"),"A-Pair-Throw",IF(LEFT(J65,1)="J","A-Pair-Jump","A-Pair"))),IF(OR(E66="A",E66="B",E66="C",E66="P"),CONCATENATE("Acro-",E66),""))</f>
        <v/>
      </c>
      <c r="I66" s="176" t="e">
        <f t="shared" ref="I66" si="2679">IF(OR(F65="Hybrid - min 4 swimmers (no DD)",LEFT(F65,5)="Trans"),0,INDEX($BY$3:$BY$9,MATCH(E66,$BX$3:$BX$9,0)))</f>
        <v>#N/A</v>
      </c>
      <c r="J66" s="171">
        <f t="shared" ref="J66:Z66" ca="1" si="2680">IFERROR(IF($H65="No DD",0,IF(OR(ISBLANK(J65),J65="N/A"),0,INDEX(INDIRECT(BI66),MATCH(J65,INDIRECT(BI65),0)))),0)</f>
        <v>0</v>
      </c>
      <c r="K66" s="171">
        <f t="shared" ca="1" si="2680"/>
        <v>0</v>
      </c>
      <c r="L66" s="171">
        <f t="shared" ca="1" si="2680"/>
        <v>0</v>
      </c>
      <c r="M66" s="171">
        <f t="shared" ca="1" si="2680"/>
        <v>0</v>
      </c>
      <c r="N66" s="171">
        <f t="shared" ca="1" si="2680"/>
        <v>0</v>
      </c>
      <c r="O66" s="171">
        <f t="shared" ca="1" si="2680"/>
        <v>0</v>
      </c>
      <c r="P66" s="171">
        <f t="shared" ca="1" si="2680"/>
        <v>0</v>
      </c>
      <c r="Q66" s="171">
        <f t="shared" ca="1" si="2680"/>
        <v>0</v>
      </c>
      <c r="R66" s="171">
        <f t="shared" ca="1" si="2680"/>
        <v>0</v>
      </c>
      <c r="S66" s="171">
        <f t="shared" ca="1" si="2680"/>
        <v>0</v>
      </c>
      <c r="T66" s="171">
        <f t="shared" ca="1" si="2680"/>
        <v>0</v>
      </c>
      <c r="U66" s="171">
        <f t="shared" ca="1" si="2680"/>
        <v>0</v>
      </c>
      <c r="V66" s="171">
        <f t="shared" ca="1" si="2680"/>
        <v>0</v>
      </c>
      <c r="W66" s="171">
        <f t="shared" ca="1" si="2680"/>
        <v>0</v>
      </c>
      <c r="X66" s="171">
        <f t="shared" ca="1" si="2680"/>
        <v>0</v>
      </c>
      <c r="Y66" s="171">
        <f t="shared" ca="1" si="2680"/>
        <v>0</v>
      </c>
      <c r="Z66" s="171">
        <f t="shared" ca="1" si="2680"/>
        <v>0</v>
      </c>
      <c r="AA66" s="171">
        <f ca="1">IFERROR(IF($H65="No DD",0,IF(OR(ISBLANK(AA65),AA65="N/A"),0,INDEX(INDIRECT(BX66),MATCH(AA65,INDIRECT(BX65),0)))),0)</f>
        <v>0</v>
      </c>
      <c r="AB66" s="171">
        <f ca="1">IFERROR(IF($H65="No DD",0,IF(OR(ISBLANK(AB65),AB65="N/A"),0,INDEX(INDIRECT(BY66),MATCH(AB65,INDIRECT(BY65),0)))),0)</f>
        <v>0</v>
      </c>
      <c r="AC66" s="171">
        <f ca="1">IFERROR(IF($H65="No DD",0,IF(OR(ISBLANK(AC65),AC65="N/A"),0,INDEX(INDIRECT(BX66),MATCH(AC65,INDIRECT(BX65),0)))),0)</f>
        <v>0</v>
      </c>
      <c r="AD66" s="171">
        <f ca="1">IFERROR(IF($H65="No DD",0,IF(OR(ISBLANK(AD65),AD65="N/A"),0,INDEX(INDIRECT(BY66),MATCH(AD65,INDIRECT(BY65),0)))),0)</f>
        <v>0</v>
      </c>
      <c r="AE66" s="171">
        <f ca="1">IFERROR(IF($H65="No DD",0,IF(OR(ISBLANK(AE65),AE65="N/A"),0,INDEX(INDIRECT(BX66),MATCH(AE65,INDIRECT(BX65),0)))),0)</f>
        <v>0</v>
      </c>
      <c r="AF66" s="171">
        <f ca="1">IFERROR(IF($H65="No DD",0,IF(OR(ISBLANK(AF65),AF65="N/A"),0,INDEX(INDIRECT(BY66),MATCH(AF65,INDIRECT(BY65),0)))),0)</f>
        <v>0</v>
      </c>
      <c r="AG66" s="171">
        <f ca="1">IFERROR(IF($H65="No DD",0,IF(OR(ISBLANK(AG65),AG65="N/A"),0,INDEX(INDIRECT(BX66),MATCH(AG65,INDIRECT(BX65),0)))),0)</f>
        <v>0</v>
      </c>
      <c r="AH66" s="171">
        <f ca="1">IFERROR(IF($H65="No DD",0,IF(OR(ISBLANK(AH65),AH65="N/A"),0,INDEX(INDIRECT(BY66),MATCH(AH65,INDIRECT(BY65),0)))),0)</f>
        <v>0</v>
      </c>
      <c r="AI66" s="171">
        <f t="shared" ref="AI66" ca="1" si="2681">IFERROR(IF($H65="No DD",0,IF(OR(ISBLANK(AI65),AI65="N/A"),0,INDEX(INDIRECT(BX66),MATCH(AI65,INDIRECT(BX65),0)))),0)</f>
        <v>0</v>
      </c>
      <c r="AJ66" s="171">
        <f t="shared" ref="AJ66" ca="1" si="2682">IFERROR(IF($H65="No DD",0,IF(OR(ISBLANK(AJ65),AJ65="N/A"),0,INDEX(INDIRECT(BY66),MATCH(AJ65,INDIRECT(BY65),0)))),0)</f>
        <v>0</v>
      </c>
      <c r="AK66" s="171">
        <f t="shared" ref="AK66" ca="1" si="2683">IFERROR(IF($H65="No DD",0,IF(OR(ISBLANK(AK65),AK65="N/A"),0,INDEX(INDIRECT(BZ66),MATCH(AK65,INDIRECT(BZ65),0)))),0)</f>
        <v>0</v>
      </c>
      <c r="AL66" s="171">
        <f t="shared" ref="AL66" ca="1" si="2684">IFERROR(IF($H65="No DD",0,IF(OR(ISBLANK(AL65),AL65="N/A"),0,INDEX(INDIRECT(CA66),MATCH(AL65,INDIRECT(CA65),0)))),0)</f>
        <v>0</v>
      </c>
      <c r="AM66" s="171">
        <f t="shared" ref="AM66" ca="1" si="2685">IFERROR(IF($H65="No DD",0,IF(OR(ISBLANK(AM65),AM65="N/A"),0,INDEX(INDIRECT(CB66),MATCH(AM65,INDIRECT(CB65),0)))),0)</f>
        <v>0</v>
      </c>
      <c r="AN66" s="172" t="str">
        <f>IFERROR(IF(E66="H",INDEX(HybridBonus_Value,MATCH(AN65,HybridBonus_Code,0)),""),"")</f>
        <v/>
      </c>
      <c r="AO66" s="276" t="str">
        <f>IFERROR(IF(J65&lt;&gt;"",SUM(I66:AN66),""),"")</f>
        <v/>
      </c>
      <c r="AP66" s="62"/>
      <c r="AQ66" s="62"/>
      <c r="AR66" s="101"/>
      <c r="AS66" s="101"/>
      <c r="AT66" s="101"/>
      <c r="AU66" s="101"/>
      <c r="AV66" s="101"/>
      <c r="AW66" s="101"/>
      <c r="AX66" s="101"/>
      <c r="AY66" s="101"/>
      <c r="AZ66" s="101"/>
      <c r="BA66" s="101"/>
      <c r="BB66" s="101"/>
      <c r="BC66" s="101"/>
      <c r="BD66" s="101"/>
      <c r="BE66" s="101"/>
      <c r="BF66" s="101"/>
      <c r="BG66" s="90"/>
      <c r="BH66" s="101"/>
      <c r="BI66" s="91" t="str">
        <f t="shared" ref="BI66" si="2686">IF($E66="H","HybridDD_Value",IF($E66=3,"TreDD_Value",IF($E66="PA","AcroPair_Value",IF(LEFT($F65,4)="Acro",CONCATENATE(BI$16,$E66,"_Value"),""))))</f>
        <v/>
      </c>
      <c r="BJ66" s="91" t="str">
        <f t="shared" ref="BJ66:BK66" si="2687">IF($E66="H","HybridDD_Value",IF($E66=3,"",IF(LEFT($F65,4)="Acro",CONCATENATE(BJ$16,$E66,"_Value"),IF($E66="PA","",""))))</f>
        <v/>
      </c>
      <c r="BK66" s="91" t="str">
        <f t="shared" si="2687"/>
        <v/>
      </c>
      <c r="BL66" s="91" t="str">
        <f t="shared" ref="BL66:BQ66" si="2688">IF($E66="H","HybridDD_Value",IF($E66=3,"",IF(LEFT($F65,4)="Acro",CONCATENATE(BL$16,$E66,"_Value"),IF($E66="PA","",""))))</f>
        <v/>
      </c>
      <c r="BM66" s="91" t="str">
        <f t="shared" si="2688"/>
        <v/>
      </c>
      <c r="BN66" s="91" t="str">
        <f t="shared" si="2688"/>
        <v/>
      </c>
      <c r="BO66" s="91" t="str">
        <f t="shared" si="2688"/>
        <v/>
      </c>
      <c r="BP66" s="91" t="str">
        <f t="shared" si="2688"/>
        <v/>
      </c>
      <c r="BQ66" s="91" t="str">
        <f t="shared" si="2688"/>
        <v/>
      </c>
      <c r="BR66" s="90" t="str">
        <f t="shared" ref="BR66" si="2689">IF($E66="H","HybridDD_Value","Data!$BI$1:$BI$5")</f>
        <v>Data!$BI$1:$BI$5</v>
      </c>
      <c r="BS66" s="90" t="str">
        <f t="shared" si="2558"/>
        <v>Data!$BI$1:$BI$5</v>
      </c>
      <c r="BT66" s="90" t="str">
        <f t="shared" si="2558"/>
        <v>Data!$BI$1:$BI$5</v>
      </c>
      <c r="BU66" s="90" t="str">
        <f t="shared" si="2558"/>
        <v>Data!$BI$1:$BI$5</v>
      </c>
      <c r="BV66" s="90" t="str">
        <f t="shared" si="2558"/>
        <v>Data!$BI$1:$BI$5</v>
      </c>
      <c r="BW66" s="90" t="str">
        <f t="shared" si="2558"/>
        <v>Data!$BI$1:$BI$5</v>
      </c>
      <c r="BX66" s="90" t="str">
        <f t="shared" si="2558"/>
        <v>Data!$BI$1:$BI$5</v>
      </c>
      <c r="BY66" s="90" t="str">
        <f t="shared" si="2558"/>
        <v>Data!$BI$1:$BI$5</v>
      </c>
      <c r="BZ66" s="90" t="str">
        <f t="shared" si="2558"/>
        <v>Data!$BI$1:$BI$5</v>
      </c>
      <c r="CA66" s="90" t="str">
        <f t="shared" si="2558"/>
        <v>Data!$BI$1:$BI$5</v>
      </c>
      <c r="CB66" s="90" t="str">
        <f t="shared" si="2558"/>
        <v>Data!$BI$1:$BI$5</v>
      </c>
      <c r="CC66" s="90"/>
      <c r="CD66" s="90"/>
      <c r="CE66" s="90"/>
      <c r="CF66" s="90"/>
      <c r="CG66" s="90"/>
      <c r="CH66" s="90"/>
      <c r="CI66" s="90"/>
      <c r="CJ66" s="90"/>
      <c r="CK66" s="90"/>
      <c r="CL66" s="90"/>
      <c r="CM66" s="101"/>
      <c r="CN66" s="101"/>
      <c r="CO66" s="102" t="str">
        <f>IFERROR(IF(AND($BV$6="T",$BV$8="T",LEFT(F65,4)="Acro",AO66&gt;3),"X",IF($N$7="X",IF(AND(E66="C",AO66&gt;$CN$6),"X",IF(AND(E66="A",AO66&gt;$CN$4),"X",IF(AND(E66="B",AO66&gt;$CN$5),"X",IF(AND(E66="P",AO66&gt;$CN$7),"X","")))),"")),"")</f>
        <v/>
      </c>
      <c r="CP66" s="93"/>
      <c r="CQ66" s="91"/>
      <c r="CS66" s="91"/>
      <c r="CT66" s="91"/>
      <c r="CU66" s="91"/>
      <c r="CV66" s="91"/>
      <c r="CW66" s="91"/>
      <c r="CX66" s="91"/>
      <c r="CY66" s="91"/>
      <c r="CZ66" s="91"/>
      <c r="DD66" s="88" t="str">
        <f t="shared" si="2030"/>
        <v/>
      </c>
      <c r="DE66" s="88" t="str">
        <f t="shared" si="2031"/>
        <v/>
      </c>
      <c r="DF66" s="88" t="str">
        <f t="shared" si="2032"/>
        <v/>
      </c>
      <c r="DG66" s="88" t="str">
        <f t="shared" si="2033"/>
        <v/>
      </c>
      <c r="DO66" s="88">
        <v>48</v>
      </c>
      <c r="EI66" s="88" t="str" cm="1">
        <f t="array" ref="EI66">IFERROR(INDEX(EK66:FD66,MATCH(TRUE,INDEX((EK66:FD66&lt;&gt;""),),0)),"")</f>
        <v/>
      </c>
      <c r="EK66" s="88" t="str">
        <f t="shared" ref="EK66:FD66" si="2690">IF(F65="Hybrid - Thrust + 2 connections",IF(COUNTIF($EK65:$FD65,EK65)&gt;1,EK65,""),IF(COUNTIF($EK65:$FD65,EK65)&gt;5,EK65,""))</f>
        <v/>
      </c>
      <c r="EL66" s="88" t="str">
        <f t="shared" si="2690"/>
        <v/>
      </c>
      <c r="EM66" s="88" t="str">
        <f t="shared" si="2690"/>
        <v/>
      </c>
      <c r="EN66" s="88" t="str">
        <f t="shared" si="2690"/>
        <v/>
      </c>
      <c r="EO66" s="88" t="str">
        <f t="shared" si="2690"/>
        <v/>
      </c>
      <c r="EP66" s="88" t="str">
        <f t="shared" si="2690"/>
        <v/>
      </c>
      <c r="EQ66" s="88" t="str">
        <f t="shared" si="2690"/>
        <v/>
      </c>
      <c r="ER66" s="88" t="str">
        <f t="shared" si="2690"/>
        <v/>
      </c>
      <c r="ES66" s="88" t="str">
        <f t="shared" si="2690"/>
        <v/>
      </c>
      <c r="ET66" s="88" t="str">
        <f t="shared" si="2690"/>
        <v/>
      </c>
      <c r="EU66" s="88" t="str">
        <f t="shared" si="2690"/>
        <v/>
      </c>
      <c r="EV66" s="88" t="str">
        <f t="shared" si="2690"/>
        <v/>
      </c>
      <c r="EW66" s="88" t="str">
        <f t="shared" si="2690"/>
        <v/>
      </c>
      <c r="EX66" s="88" t="str">
        <f t="shared" si="2690"/>
        <v/>
      </c>
      <c r="EY66" s="88" t="str">
        <f t="shared" si="2690"/>
        <v/>
      </c>
      <c r="EZ66" s="88" t="str">
        <f t="shared" si="2690"/>
        <v/>
      </c>
      <c r="FA66" s="88" t="str">
        <f t="shared" si="2690"/>
        <v/>
      </c>
      <c r="FB66" s="88" t="str">
        <f t="shared" si="2690"/>
        <v/>
      </c>
      <c r="FC66" s="88" t="str">
        <f t="shared" si="2690"/>
        <v/>
      </c>
      <c r="FD66" s="88" t="str">
        <f t="shared" si="2690"/>
        <v/>
      </c>
      <c r="FE66" s="88"/>
      <c r="FF66" s="88"/>
      <c r="FG66" s="88"/>
      <c r="FH66" s="88"/>
      <c r="FI66" s="88"/>
      <c r="FJ66" s="88"/>
      <c r="FK66" s="88"/>
      <c r="FL66" s="88"/>
      <c r="FM66" s="88"/>
      <c r="FN66" s="88"/>
      <c r="FO66" s="88"/>
      <c r="FP66" s="88"/>
      <c r="FQ66" s="88" t="str" cm="1">
        <f t="array" ref="FQ66">IFERROR(INDEX(FR66:GK66,MATCH(TRUE,INDEX((FR66:GK66&lt;&gt;""),),0)),"")</f>
        <v/>
      </c>
      <c r="FR66" s="88" t="str">
        <f t="shared" ref="FR66:GK66" si="2691">IF(COUNTIF($FR65:$GK65,FR65)&gt;3,FR65,"")</f>
        <v/>
      </c>
      <c r="FS66" s="88" t="str">
        <f t="shared" si="2691"/>
        <v/>
      </c>
      <c r="FT66" s="88" t="str">
        <f t="shared" si="2691"/>
        <v/>
      </c>
      <c r="FU66" s="88" t="str">
        <f t="shared" si="2691"/>
        <v/>
      </c>
      <c r="FV66" s="88" t="str">
        <f t="shared" si="2691"/>
        <v/>
      </c>
      <c r="FW66" s="88" t="str">
        <f t="shared" si="2691"/>
        <v/>
      </c>
      <c r="FX66" s="88" t="str">
        <f t="shared" si="2691"/>
        <v/>
      </c>
      <c r="FY66" s="88" t="str">
        <f t="shared" si="2691"/>
        <v/>
      </c>
      <c r="FZ66" s="88" t="str">
        <f t="shared" si="2691"/>
        <v/>
      </c>
      <c r="GA66" s="88" t="str">
        <f t="shared" si="2691"/>
        <v/>
      </c>
      <c r="GB66" s="88" t="str">
        <f t="shared" si="2691"/>
        <v/>
      </c>
      <c r="GC66" s="88" t="str">
        <f t="shared" si="2691"/>
        <v/>
      </c>
      <c r="GD66" s="88" t="str">
        <f t="shared" si="2691"/>
        <v/>
      </c>
      <c r="GE66" s="88" t="str">
        <f t="shared" si="2691"/>
        <v/>
      </c>
      <c r="GF66" s="88" t="str">
        <f t="shared" si="2691"/>
        <v/>
      </c>
      <c r="GG66" s="88" t="str">
        <f t="shared" si="2691"/>
        <v/>
      </c>
      <c r="GH66" s="88" t="str">
        <f t="shared" si="2691"/>
        <v/>
      </c>
      <c r="GI66" s="88" t="str">
        <f t="shared" si="2691"/>
        <v/>
      </c>
      <c r="GJ66" s="88" t="str">
        <f t="shared" si="2691"/>
        <v/>
      </c>
      <c r="GK66" s="88" t="str">
        <f t="shared" si="2691"/>
        <v/>
      </c>
      <c r="GL66" s="88"/>
      <c r="GM66" s="88"/>
      <c r="GN66" s="88"/>
      <c r="GO66" s="88"/>
      <c r="GP66" s="88"/>
      <c r="GQ66" s="88"/>
      <c r="GR66" s="88"/>
      <c r="GS66" s="88"/>
      <c r="GT66" s="88"/>
      <c r="GU66" s="88"/>
      <c r="GV66" s="88"/>
      <c r="GW66" s="88"/>
      <c r="GX66" s="88"/>
      <c r="GY66" s="88"/>
      <c r="GZ66" s="88"/>
      <c r="HA66" s="88"/>
      <c r="HB66" s="88"/>
      <c r="HC66" s="88"/>
      <c r="HD66" s="88" t="str">
        <f>IF($F65="Hybrid - Thrust + 2 connections",COUNTBLANK(J65:L65),"")</f>
        <v/>
      </c>
      <c r="HE66" s="88"/>
      <c r="HF66" s="91"/>
      <c r="HG66" s="91"/>
      <c r="HH66" s="91"/>
      <c r="HI66" s="91"/>
    </row>
    <row r="67" spans="1:231" ht="15" hidden="1" customHeight="1" x14ac:dyDescent="0.35">
      <c r="A67" s="28" t="str">
        <f>IF(AND(E65="",A65&lt;&gt;""),IF(CP65=$CP$18,"",IF(C65&lt;&gt;"",IF(D65=59,MINUTE(CP65)+1,MINUTE(CP65)),"")),"")</f>
        <v/>
      </c>
      <c r="B67" s="29" t="str">
        <f>IF(AND(E65="",B65&lt;&gt;""),IF(CP65=$CP$18,"",IF(C65&lt;&gt;"",IF(D65=59,0,SECOND(CP65)+1),"")),"")</f>
        <v/>
      </c>
      <c r="C67" s="39"/>
      <c r="D67" s="39"/>
      <c r="E67" s="9"/>
      <c r="F67" s="40"/>
      <c r="G67" s="31" t="str">
        <f>IF(F67&lt;&gt;"",IF(OR(F67="Transition",F67="Transition - Surface Connection"),0,MAX($G$19:G66)+1),"")</f>
        <v/>
      </c>
      <c r="H67" s="43" t="str">
        <f t="shared" ref="H67" si="2692">IFERROR(IF(E68="3","",IF(OR(F67="Hybrid - min 4 swimmers (no DD)",LEFT(F67,5)="Trans"),"No DD",CONCATENATE("BM = ",I68))),"")</f>
        <v/>
      </c>
      <c r="I67" s="44"/>
      <c r="J67" s="109"/>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58"/>
      <c r="AO67" s="32"/>
      <c r="AP67" s="61"/>
      <c r="AQ67" s="61"/>
      <c r="AR67" s="90"/>
      <c r="AS67" s="90"/>
      <c r="AT67" s="90"/>
      <c r="AU67" s="90"/>
      <c r="AV67" s="90"/>
      <c r="AW67" s="90"/>
      <c r="AX67" s="90"/>
      <c r="AY67" s="90"/>
      <c r="AZ67" s="90"/>
      <c r="BA67" s="90"/>
      <c r="BB67" s="90"/>
      <c r="BC67" s="90"/>
      <c r="BD67" s="90"/>
      <c r="BE67" s="90"/>
      <c r="BF67" s="90"/>
      <c r="BG67" s="90" t="str">
        <f>IFERROR(IF(F67&lt;&gt;"",INDEX(Parts_Active,MATCH(F67,Parts_Active,0)),""),"No")</f>
        <v/>
      </c>
      <c r="BH67" s="90"/>
      <c r="BI67" s="90" t="str">
        <f t="shared" ref="BI67" si="2693">IF($E68="H",IF($F67="Hybrid - Thrust + 2 connections","Hybrid_Mix_Req","HybridDD_Code"),IF($E68=3,"TreDD_Code",IF($E68="PA","AcroPair_Code",IF(LEFT($F67,4)="Acro",CONCATENATE(BI$16,$E68,"_Code"),"Data!$BI$1:$BI$5"))))</f>
        <v>Data!$BI$1:$BI$5</v>
      </c>
      <c r="BJ67" s="90" t="str">
        <f t="shared" ref="BJ67" si="2694">IF($E68="H",IF($F67="Hybrid - Thrust + 2 connections","Hybrid_Mix_Req","HybridDD_Code"),IF($E68=3,"TreDD_Code",IF($E68="PA","AcroPair_Code",IF(LEFT($F67,4)="Acro",CONCATENATE(BJ$16,$E68,"_Code"),"Data!$BI$1:$BI$5"))))</f>
        <v>Data!$BI$1:$BI$5</v>
      </c>
      <c r="BK67" s="90" t="str">
        <f t="shared" ref="BK67" si="2695">IF($E68="H",IF($F67="Hybrid - Thrust + 2 connections","Hybrid_Mix_Req","HybridDD_Code"),IF($E68=3,"TreDD_Code",IF($E68="PA","AcroPair_Code",IF(LEFT($F67,4)="Acro",CONCATENATE(BK$16,$E68,"_Code"),"Data!$BI$1:$BI$5"))))</f>
        <v>Data!$BI$1:$BI$5</v>
      </c>
      <c r="BL67" s="90" t="str">
        <f t="shared" ref="BL67" si="2696">IF($E68="H",IF($F67="Hybrid - Thrust + 2 connections","Data!$BI$1:$BI$5","HybridDD_Code"),IF($E68=3,"Data!$BI$1:$BI$5",IF(LEFT($F67,4)="Acro",CONCATENATE(BL$16,$E68,"_Code"),IF($E68="PA","","Data!$BI$1:$BI$5"))))</f>
        <v>Data!$BI$1:$BI$5</v>
      </c>
      <c r="BM67" s="90" t="str">
        <f t="shared" ref="BM67" si="2697">IF($E68="H",IF($F67="Hybrid - Thrust + 2 connections","Data!$BI$1:$BI$5","HybridDD_Code"),IF($E68=3,"Data!$BI$1:$BI$5",IF(LEFT($F67,4)="Acro",CONCATENATE(BM$16,$E68,"_Code"),IF($E68="PA","","Data!$BI$1:$BI$5"))))</f>
        <v>Data!$BI$1:$BI$5</v>
      </c>
      <c r="BN67" s="90" t="str">
        <f t="shared" ref="BN67" si="2698">IF($E68="H",IF($F67="Hybrid - Thrust + 2 connections","Data!$BI$1:$BI$5","HybridDD_Code"),IF($E68=3,"Data!$BI$1:$BI$5",IF(LEFT($F67,4)="Acro",CONCATENATE(BN$16,$E68,"_Code"),IF($E68="PA","","Data!$BI$1:$BI$5"))))</f>
        <v>Data!$BI$1:$BI$5</v>
      </c>
      <c r="BO67" s="90" t="str">
        <f t="shared" ref="BO67" si="2699">IF($E68="H",IF($F67="Hybrid - Thrust + 2 connections","Data!$BI$1:$BI$5","HybridDD_Code"),IF($E68=3,"Data!$BI$1:$BI$5",IF(LEFT($F67,4)="Acro",CONCATENATE(BO$16,$E68,"_Code"),IF($E68="PA","","Data!$BI$1:$BI$5"))))</f>
        <v>Data!$BI$1:$BI$5</v>
      </c>
      <c r="BP67" s="90" t="str">
        <f t="shared" ref="BP67" si="2700">IF($E68="H",IF($F67="Hybrid - Thrust + 2 connections","Data!$BI$1:$BI$5","HybridDD_Code"),IF($E68=3,"Data!$BI$1:$BI$5",IF(LEFT($F67,4)="Acro",CONCATENATE(BP$16,$E68,"_Code"),IF($E68="PA","","Data!$BI$1:$BI$5"))))</f>
        <v>Data!$BI$1:$BI$5</v>
      </c>
      <c r="BQ67" s="90" t="str">
        <f t="shared" ref="BQ67" si="2701">IF($E68="H",IF($F67="Hybrid - Thrust + 2 connections","Data!$BI$1:$BI$5","HybridDD_Code"),IF($E68=3,"Data!$BI$1:$BI$5",IF(LEFT($F67,4)="Acro",CONCATENATE(BQ$16,$E68,"_Code"),IF($E68="PA","","Data!$BI$1:$BI$5"))))</f>
        <v>Data!$BI$1:$BI$5</v>
      </c>
      <c r="BR67" s="90" t="str">
        <f t="shared" ref="BR67" si="2702">IF($E68="H",IF($F67="Hybrid - Thrust + 2 connections","Data!$BI$1:$BI$5","HybridDD_Code"),"Data!$BI$1:$BI$5")</f>
        <v>Data!$BI$1:$BI$5</v>
      </c>
      <c r="BS67" s="90" t="str">
        <f t="shared" si="2558"/>
        <v>Data!$BI$1:$BI$5</v>
      </c>
      <c r="BT67" s="90" t="str">
        <f t="shared" si="2558"/>
        <v>Data!$BI$1:$BI$5</v>
      </c>
      <c r="BU67" s="90" t="str">
        <f t="shared" si="2558"/>
        <v>Data!$BI$1:$BI$5</v>
      </c>
      <c r="BV67" s="90" t="str">
        <f t="shared" si="2558"/>
        <v>Data!$BI$1:$BI$5</v>
      </c>
      <c r="BW67" s="90" t="str">
        <f t="shared" si="2558"/>
        <v>Data!$BI$1:$BI$5</v>
      </c>
      <c r="BX67" s="90" t="str">
        <f t="shared" si="2558"/>
        <v>Data!$BI$1:$BI$5</v>
      </c>
      <c r="BY67" s="90" t="str">
        <f t="shared" si="2558"/>
        <v>Data!$BI$1:$BI$5</v>
      </c>
      <c r="BZ67" s="90" t="str">
        <f t="shared" si="2558"/>
        <v>Data!$BI$1:$BI$5</v>
      </c>
      <c r="CA67" s="90" t="str">
        <f t="shared" si="2558"/>
        <v>Data!$BI$1:$BI$5</v>
      </c>
      <c r="CB67" s="90" t="str">
        <f t="shared" si="2558"/>
        <v>Data!$BI$1:$BI$5</v>
      </c>
      <c r="CC67" s="90"/>
      <c r="CD67" s="90"/>
      <c r="CE67" s="90"/>
      <c r="CF67" s="90"/>
      <c r="CG67" s="90"/>
      <c r="CH67" s="90"/>
      <c r="CI67" s="90"/>
      <c r="CJ67" s="90"/>
      <c r="CK67" s="90"/>
      <c r="CL67" s="90"/>
      <c r="CM67" s="90"/>
      <c r="CN67" s="90"/>
      <c r="CO67" s="93" t="str">
        <f>IFERROR(TIME(0,A67,B67),"")</f>
        <v/>
      </c>
      <c r="CP67" s="94">
        <f>IFERROR(TIME(0,C67,D67),"")</f>
        <v>0</v>
      </c>
      <c r="CQ67" s="94" t="str">
        <f t="shared" ref="CQ67" si="2703">IF(CP67&gt;$D$12,"X","")</f>
        <v/>
      </c>
      <c r="CR67" s="88" t="str">
        <f>IF(AND(F67="Hybrid - Thrust + 2 connections",OR(LEFT(J67,1)="T",LEFT(K67,1)="T",LEFT(L67,1)="T",LEFT(PB67,1)="T",LEFT(M67,1)="T",LEFT(N67,1)="T",LEFT(O67,1)="T",LEFT(P67,1)="T",LEFT(Q67,1)="T",LEFT(R67,1)="T",LEFT(S67,1)="T",LEFT(T67,1)="T",LEFT(U67,1)="T",LEFT(V67,1)="T",LEFT(W67,1)="T",LEFT(X67,1)="T",LEFT(AK67,1)="T",LEFT(AL67,1)="T",LEFT(AM67,1)="T")),IF(OR(LEN(J67)=2,LEN(K67)=2,LEN(L67)=2,LEN(M67)=2,LEN(N67)=2,LEN(O67)=2,LEN(P67)=2,LEN(Q67)=2,LEN(R67)=2,LEN(S67)=2,LEN(T67)=2,LEN(U67)=2,LEN(V67)=2,LEN(W67)=2,LEN(X67)=2,LEN(Y67)=2,LEN(Z67)=2,LEN(AK67)=2,LEN(AL67)=2,LEN(AM67)=2),"X",""),"")</f>
        <v/>
      </c>
      <c r="CS67" s="91"/>
      <c r="CT67" s="88" t="str">
        <f>IF(LEFT(F67,4)="Acro",IF(AND(N67&lt;&gt;"",M67=RIGHT(N67,2)),"X","OK"),"")</f>
        <v/>
      </c>
      <c r="CU67" s="90" t="str">
        <f t="shared" ref="CU67:DB67" si="2704">IFERROR(IF(AND(LEFT($F67,4)="Acro",INDEX(Requ_App,MATCH(BI67,Requ_Code,0))="No"),"X",""),"")</f>
        <v/>
      </c>
      <c r="CV67" s="90" t="str">
        <f t="shared" si="2704"/>
        <v/>
      </c>
      <c r="CW67" s="90" t="str">
        <f t="shared" si="2704"/>
        <v/>
      </c>
      <c r="CX67" s="90" t="str">
        <f t="shared" si="2704"/>
        <v/>
      </c>
      <c r="CY67" s="90" t="str">
        <f t="shared" si="2704"/>
        <v/>
      </c>
      <c r="CZ67" s="90" t="str">
        <f t="shared" si="2704"/>
        <v/>
      </c>
      <c r="DA67" s="90" t="str">
        <f t="shared" si="2704"/>
        <v/>
      </c>
      <c r="DB67" s="90" t="str">
        <f t="shared" si="2704"/>
        <v/>
      </c>
      <c r="DC67" s="90" t="str">
        <f>IFERROR(IF(AND(LEFT($F67,4)="Acro",INDEX(Requ_App,MATCH(BP67,Requ_Code,0))="No"),"X",""),"")</f>
        <v/>
      </c>
      <c r="DD67" s="88" t="str">
        <f t="shared" si="2030"/>
        <v/>
      </c>
      <c r="DE67" s="88" t="str">
        <f t="shared" si="2031"/>
        <v/>
      </c>
      <c r="DF67" s="88" t="str">
        <f t="shared" si="2032"/>
        <v/>
      </c>
      <c r="DG67" s="88" t="str">
        <f t="shared" si="2033"/>
        <v/>
      </c>
      <c r="DK67" s="88">
        <f>IF(AND(E68="A",OR(Q67="Grip",Q67="Conn",Q67="Catch")),"A1",IF(AND(E68="A",OR(Q67="Hula",Q67="RetSq",Q67="RetPa")),"A2",IF(AND(E68="B",OR(Q67="Twirl",Q67="RotF")),"B1",IF(AND(E68="B",OR(Q67="Moon",Q67="Mov")),"B2",IF(AND(E68="B",Q67="Hold"),"B3",IF(AND(E68="P",OR(Q67="Porp",Q67="Spich")),"P1",IF(AND(E68="P",OR(Q67="Diva",Q67="Ps1",Q67="Ps1t0.5",Q67="Ps1op",Q67="Ps1t0,5o",Q67="Ps1t1",Q67="CH+")),"P2",IF(AND(E68="P",OR(Q67="Spider",Q67="Climb")),"P3",IF(AND(E68="P",OR(Q67="Fall",Q67="FTurn")),"P4",IF(AND(E68="C",OR(Q67="Jump",Q67="Jump&gt;",Q67="On1Foot",Q67="1F&gt;1F")),"C1",IF(AND(E68="C",OR(Q67="Run",Q67="BRun")),"C2",1)))))))))))</f>
        <v>1</v>
      </c>
      <c r="DL67" s="88">
        <f>IF(AND(E68="A",OR(R67="Grip",R67="Conn",R67="Catch")),"A1",IF(AND(E68="A",OR(R67="Hula",R67="RetSq",R67="RetPa")),"A2",IF(AND(E68="B",OR(R67="Twirl",R67="RotF")),"B1",IF(AND(E68="B",OR(R67="Moon",R67="Mov")),"B3",IF(AND(E68="B",R67="Hold"),"B2",IF(AND(E68="P",OR(R67="Porp",R67="Spich")),"P1",IF(AND(E68="P",OR(R67="Diva",R67="Ps1",R67="Ps1t0.5",R67="Ps1op",R67="Ps1t0,5o",R67="Ps1t1",R67="CH+")),"P2",IF(AND(E68="P",OR(R67="Spider",R67="Climb")),"P3",IF(AND(E68="P",OR(R67="Fall",R67="FTurn")),"P4",IF(AND(E68="C",OR(R67="Jump",R67="Jump&gt;",R67="On1Foot",R67="1F&gt;1F")),"C1",IF(AND(E68="C",OR(R67="Run",R67="BRun")),"C2",2)))))))))))</f>
        <v>2</v>
      </c>
      <c r="DM67" s="88" t="str">
        <f>IF(AND(LEFT(F67,4)="Acro",Q67&lt;&gt;"",OR(Q67=R67,DK67=DL67)),IF(R67="C-Roll","","X"),IF(OR(AND(E68="A",Q67="Catch",R67&lt;&gt;"Dbl"),AND(E68="A",R67="Catch",Q67&lt;&gt;"Dbl")),"X",""))</f>
        <v/>
      </c>
      <c r="DN67" s="88" t="str">
        <f>IF(E68="PA",J67,"")</f>
        <v/>
      </c>
      <c r="DO67" s="88">
        <v>49</v>
      </c>
      <c r="DQ67" s="88" t="str">
        <f>IF(AND($E68="A",COUNTIF($DZ$19:$EA$68,DZ67)&gt;1),DZ67,"")</f>
        <v/>
      </c>
      <c r="DR67" s="88" t="str">
        <f>IF(AND($E68="A",COUNTIF($DZ$19:$EA$68,EA67)&gt;1),EA67,"")</f>
        <v/>
      </c>
      <c r="DS67" s="88" t="str">
        <f ca="1">IF(AND($E68="B",COUNTIF($J$19:$J$68,J67)&gt;1),J67,"")</f>
        <v/>
      </c>
      <c r="DT67" s="88" t="str">
        <f ca="1">IF(AND($E68="B",COUNTIF($K$19:$K$68,K67)&gt;1),K67,"")</f>
        <v/>
      </c>
      <c r="DU67" s="88" t="str">
        <f ca="1">IF(AND($E68="C",COUNTIF($J$19:$J$68,J67)&gt;1),J67,"")</f>
        <v/>
      </c>
      <c r="DV67" s="88" t="str">
        <f ca="1">IF(AND($E68="P",COUNTIF($J$19:$J$68,J67)&gt;1),J67,"")</f>
        <v/>
      </c>
      <c r="DW67" s="88" t="str">
        <f ca="1">IF(AND($E68="P",COUNTIF($K$19:$K$68,K67)&gt;1),K67,"")</f>
        <v/>
      </c>
      <c r="DX67" s="88" t="str">
        <f>IF(AND($E68="P",COUNTIF($DZ$19:$EA$68,DZ67)&gt;1),DZ67,"")</f>
        <v/>
      </c>
      <c r="DY67" s="88" t="str">
        <f>IF(AND($E68="P",COUNTIF($DZ$19:$EA$68,EA67)&gt;1),EA67,"")</f>
        <v/>
      </c>
      <c r="DZ67" s="88" t="str">
        <f>IFERROR(IF(OR(E68="A",E68="P"),M67,""),"")</f>
        <v/>
      </c>
      <c r="EA67" s="88" t="str">
        <f>IFERROR(IF(OR(E68="A",E68="P"),RIGHT(N67,2),""),"")</f>
        <v/>
      </c>
      <c r="EF67" s="88" t="str">
        <f>IF(AND($F$8="Open Team Acrobatic",LEFT(F67,4)="Acro"),E68,"")</f>
        <v/>
      </c>
      <c r="EG67" s="88" t="str">
        <f t="shared" ref="EG67" si="2705">IFERROR(IF(HLOOKUP(EF67,$DQ$12:$DT$13,2,FALSE)&gt;2,"X",""),"")</f>
        <v/>
      </c>
      <c r="EI67" s="88" t="str">
        <f>IF(OR(AND(F67="Hybrid - Thrust + 2 connections",EI68="T"),AND(F67="Hybrid - Free",EI68&lt;&gt;"")),"X","")</f>
        <v/>
      </c>
      <c r="EK67" s="88">
        <f t="shared" ref="EK67:FA67" si="2706">IFERROR(IF(AND($E68="H",J67&lt;&gt;""),IF(OR(LEFT(J67,1)="T",LEFT(J67,1)="S",LEFT(J67,1)="A",LEFT(J67,1)="F",LEFT(J67,1)="C"),LEFT(J67,1),"R"),EK$18),"")</f>
        <v>1</v>
      </c>
      <c r="EL67" s="88">
        <f t="shared" si="2706"/>
        <v>2</v>
      </c>
      <c r="EM67" s="88">
        <f t="shared" si="2706"/>
        <v>3</v>
      </c>
      <c r="EN67" s="88">
        <f t="shared" si="2706"/>
        <v>4</v>
      </c>
      <c r="EO67" s="88">
        <f t="shared" si="2706"/>
        <v>5</v>
      </c>
      <c r="EP67" s="88">
        <f t="shared" si="2706"/>
        <v>6</v>
      </c>
      <c r="EQ67" s="88">
        <f t="shared" si="2706"/>
        <v>7</v>
      </c>
      <c r="ER67" s="88">
        <f t="shared" si="2706"/>
        <v>8</v>
      </c>
      <c r="ES67" s="88">
        <f t="shared" si="2706"/>
        <v>9</v>
      </c>
      <c r="ET67" s="88">
        <f t="shared" si="2706"/>
        <v>10</v>
      </c>
      <c r="EU67" s="88">
        <f t="shared" si="2706"/>
        <v>11</v>
      </c>
      <c r="EV67" s="88">
        <f t="shared" si="2706"/>
        <v>12</v>
      </c>
      <c r="EW67" s="88">
        <f t="shared" si="2706"/>
        <v>13</v>
      </c>
      <c r="EX67" s="88">
        <f t="shared" si="2706"/>
        <v>14</v>
      </c>
      <c r="EY67" s="88">
        <f t="shared" si="2706"/>
        <v>15</v>
      </c>
      <c r="EZ67" s="88">
        <f t="shared" si="2706"/>
        <v>16</v>
      </c>
      <c r="FA67" s="88">
        <f t="shared" si="2706"/>
        <v>17</v>
      </c>
      <c r="FB67" s="88">
        <f t="shared" ref="FB67" si="2707">IFERROR(IF(AND($E68="H",AK67&lt;&gt;""),IF(OR(LEFT(AK67,1)="T",LEFT(AK67,1)="S",LEFT(AK67,1)="A",LEFT(AK67,1)="F",LEFT(AK67,1)="C"),LEFT(AK67,1),"R"),FB$18),"")</f>
        <v>18</v>
      </c>
      <c r="FC67" s="88">
        <f t="shared" ref="FC67" si="2708">IFERROR(IF(AND($E68="H",AL67&lt;&gt;""),IF(OR(LEFT(AL67,1)="T",LEFT(AL67,1)="S",LEFT(AL67,1)="A",LEFT(AL67,1)="F",LEFT(AL67,1)="C"),LEFT(AL67,1),"R"),FC$18),"")</f>
        <v>19</v>
      </c>
      <c r="FD67" s="88">
        <f t="shared" ref="FD67" si="2709">IFERROR(IF(AND($E68="H",AM67&lt;&gt;""),IF(OR(LEFT(AM67,1)="T",LEFT(AM67,1)="S",LEFT(AM67,1)="A",LEFT(AM67,1)="F",LEFT(AM67,1)="C"),LEFT(AM67,1),"R"),FD$18),"")</f>
        <v>20</v>
      </c>
      <c r="FE67" s="88"/>
      <c r="FF67" s="88"/>
      <c r="FG67" s="88"/>
      <c r="FH67" s="88"/>
      <c r="FI67" s="88"/>
      <c r="FJ67" s="88"/>
      <c r="FK67" s="88"/>
      <c r="FL67" s="88"/>
      <c r="FM67" s="88"/>
      <c r="FN67" s="88"/>
      <c r="FO67" s="88"/>
      <c r="FP67" s="88"/>
      <c r="FQ67" s="88"/>
      <c r="FR67" s="88">
        <f t="shared" ref="FR67:GH67" si="2710">IFERROR(IF(J67&lt;&gt;"",UPPER(J67),FR$18),FR$18)</f>
        <v>1</v>
      </c>
      <c r="FS67" s="88">
        <f t="shared" si="2710"/>
        <v>2</v>
      </c>
      <c r="FT67" s="88">
        <f t="shared" si="2710"/>
        <v>3</v>
      </c>
      <c r="FU67" s="88">
        <f t="shared" si="2710"/>
        <v>4</v>
      </c>
      <c r="FV67" s="88">
        <f t="shared" si="2710"/>
        <v>5</v>
      </c>
      <c r="FW67" s="88">
        <f t="shared" si="2710"/>
        <v>6</v>
      </c>
      <c r="FX67" s="88">
        <f t="shared" si="2710"/>
        <v>7</v>
      </c>
      <c r="FY67" s="88">
        <f t="shared" si="2710"/>
        <v>8</v>
      </c>
      <c r="FZ67" s="88">
        <f t="shared" si="2710"/>
        <v>9</v>
      </c>
      <c r="GA67" s="88">
        <f t="shared" si="2710"/>
        <v>10</v>
      </c>
      <c r="GB67" s="88">
        <f t="shared" si="2710"/>
        <v>11</v>
      </c>
      <c r="GC67" s="88">
        <f t="shared" si="2710"/>
        <v>12</v>
      </c>
      <c r="GD67" s="88">
        <f t="shared" si="2710"/>
        <v>13</v>
      </c>
      <c r="GE67" s="88">
        <f t="shared" si="2710"/>
        <v>14</v>
      </c>
      <c r="GF67" s="88">
        <f t="shared" si="2710"/>
        <v>15</v>
      </c>
      <c r="GG67" s="88">
        <f t="shared" si="2710"/>
        <v>16</v>
      </c>
      <c r="GH67" s="88">
        <f t="shared" si="2710"/>
        <v>17</v>
      </c>
      <c r="GI67" s="88">
        <f>IFERROR(IF(AK67&lt;&gt;"",UPPER(AK67),GI$18),GI$18)</f>
        <v>18</v>
      </c>
      <c r="GJ67" s="88">
        <f>IFERROR(IF(AL67&lt;&gt;"",UPPER(AL67),GJ$18),GJ$18)</f>
        <v>19</v>
      </c>
      <c r="GK67" s="88">
        <f>IFERROR(IF(AM67&lt;&gt;"",UPPER(AM67),GK$18),GK$18)</f>
        <v>20</v>
      </c>
      <c r="GL67" s="88"/>
      <c r="GM67" s="88"/>
      <c r="GN67" s="88"/>
      <c r="GO67" s="88"/>
      <c r="GP67" s="88"/>
      <c r="GQ67" s="88"/>
      <c r="GR67" s="88"/>
      <c r="GS67" s="88"/>
      <c r="GT67" s="88"/>
      <c r="GU67" s="88"/>
      <c r="GV67" s="88"/>
      <c r="GW67" s="88">
        <f t="shared" ref="GW67:HB67" si="2711">COUNTIF($EK67:$FD67,GW$18)</f>
        <v>0</v>
      </c>
      <c r="GX67" s="88">
        <f t="shared" si="2711"/>
        <v>0</v>
      </c>
      <c r="GY67" s="88">
        <f t="shared" si="2711"/>
        <v>0</v>
      </c>
      <c r="GZ67" s="88">
        <f t="shared" si="2711"/>
        <v>0</v>
      </c>
      <c r="HA67" s="88">
        <f t="shared" si="2711"/>
        <v>0</v>
      </c>
      <c r="HB67" s="88">
        <f t="shared" si="2711"/>
        <v>0</v>
      </c>
      <c r="HC67" s="88"/>
      <c r="HD67" s="88" t="str">
        <f t="shared" ref="HD67" si="2712">IF(AND($F67="Hybrid - Thrust + 2 connections",HD68=0,LEFT($J67,1)="C",LEFT($K67,1)="C",LEFT($L67,1)="C"),"X","")</f>
        <v/>
      </c>
      <c r="HE67" s="88"/>
      <c r="HF67" s="91"/>
      <c r="HG67" s="100"/>
      <c r="HH67" s="100"/>
      <c r="HI67" s="91" t="str">
        <f>IF(E68=3,_xlfn.NUMBERVALUE(LEFT(J67,1)),"")</f>
        <v/>
      </c>
    </row>
    <row r="68" spans="1:231" ht="15" hidden="1" customHeight="1" thickBot="1" x14ac:dyDescent="0.4">
      <c r="A68" s="33"/>
      <c r="B68" s="34"/>
      <c r="C68" s="34"/>
      <c r="D68" s="34"/>
      <c r="E68" s="177" t="str">
        <f t="shared" ref="E68" si="2713">IF(F67="Acrobatic - Pair","PA",IF(F67="Acrobatic Airborn","A",IF(F67="Acrobatic Balance","B",IF(F67="Acrobatic Combined","C",IF(F67="Acrobatic Platform","P",IF(F67="Technical Required Element",3,IF(LEFT(F67,4)="Hybr","H","")))))))</f>
        <v/>
      </c>
      <c r="F68" s="196" t="str">
        <f>IF(AND(F67="Hybrid - Thrust + 2 connections",CR67="X"),"Hybrid - Thrust",IF(OR(E68="A",E68="B",E68="C",E68="P"),"Acrobatic",""))</f>
        <v/>
      </c>
      <c r="G68" s="178"/>
      <c r="H68" s="183" t="str">
        <f t="shared" ref="H68" si="2714">IF(E68="PA",IF(OR(LEFT(J67,1)="L",LEFT(J67,1)="S"),"A-Pair-Lift",IF(OR(LEFT(J67,1)="W",LEFT(J67,1)="T"),"A-Pair-Throw",IF(LEFT(J67,1)="J","A-Pair-Jump","A-Pair"))),IF(OR(E68="A",E68="B",E68="C",E68="P"),CONCATENATE("Acro-",E68),""))</f>
        <v/>
      </c>
      <c r="I68" s="179" t="e">
        <f t="shared" ref="I68" si="2715">IF(OR(F67="Hybrid - min 4 swimmers (no DD)",LEFT(F67,5)="Trans"),0,INDEX($BY$3:$BY$9,MATCH(E68,$BX$3:$BX$9,0)))</f>
        <v>#N/A</v>
      </c>
      <c r="J68" s="189">
        <f t="shared" ref="J68:Z68" ca="1" si="2716">IFERROR(IF($H67="No DD",0,IF(OR(ISBLANK(J67),J67="N/A"),0,INDEX(INDIRECT(BI68),MATCH(J67,INDIRECT(BI67),0)))),0)</f>
        <v>0</v>
      </c>
      <c r="K68" s="180">
        <f t="shared" ca="1" si="2716"/>
        <v>0</v>
      </c>
      <c r="L68" s="180">
        <f t="shared" ca="1" si="2716"/>
        <v>0</v>
      </c>
      <c r="M68" s="180">
        <f t="shared" ca="1" si="2716"/>
        <v>0</v>
      </c>
      <c r="N68" s="180">
        <f t="shared" ca="1" si="2716"/>
        <v>0</v>
      </c>
      <c r="O68" s="180">
        <f t="shared" ca="1" si="2716"/>
        <v>0</v>
      </c>
      <c r="P68" s="180">
        <f t="shared" ca="1" si="2716"/>
        <v>0</v>
      </c>
      <c r="Q68" s="180">
        <f t="shared" ca="1" si="2716"/>
        <v>0</v>
      </c>
      <c r="R68" s="180">
        <f t="shared" ca="1" si="2716"/>
        <v>0</v>
      </c>
      <c r="S68" s="180">
        <f t="shared" ca="1" si="2716"/>
        <v>0</v>
      </c>
      <c r="T68" s="180">
        <f t="shared" ca="1" si="2716"/>
        <v>0</v>
      </c>
      <c r="U68" s="180">
        <f t="shared" ca="1" si="2716"/>
        <v>0</v>
      </c>
      <c r="V68" s="180">
        <f t="shared" ca="1" si="2716"/>
        <v>0</v>
      </c>
      <c r="W68" s="180">
        <f t="shared" ca="1" si="2716"/>
        <v>0</v>
      </c>
      <c r="X68" s="180">
        <f t="shared" ca="1" si="2716"/>
        <v>0</v>
      </c>
      <c r="Y68" s="180">
        <f t="shared" ca="1" si="2716"/>
        <v>0</v>
      </c>
      <c r="Z68" s="180">
        <f t="shared" ca="1" si="2716"/>
        <v>0</v>
      </c>
      <c r="AA68" s="180">
        <f ca="1">IFERROR(IF($H67="No DD",0,IF(OR(ISBLANK(AA67),AA67="N/A"),0,INDEX(INDIRECT(BX68),MATCH(AA67,INDIRECT(BX67),0)))),0)</f>
        <v>0</v>
      </c>
      <c r="AB68" s="180">
        <f ca="1">IFERROR(IF($H67="No DD",0,IF(OR(ISBLANK(AB67),AB67="N/A"),0,INDEX(INDIRECT(BY68),MATCH(AB67,INDIRECT(BY67),0)))),0)</f>
        <v>0</v>
      </c>
      <c r="AC68" s="180">
        <f ca="1">IFERROR(IF($H67="No DD",0,IF(OR(ISBLANK(AC67),AC67="N/A"),0,INDEX(INDIRECT(BX68),MATCH(AC67,INDIRECT(BX67),0)))),0)</f>
        <v>0</v>
      </c>
      <c r="AD68" s="180">
        <f ca="1">IFERROR(IF($H67="No DD",0,IF(OR(ISBLANK(AD67),AD67="N/A"),0,INDEX(INDIRECT(BY68),MATCH(AD67,INDIRECT(BY67),0)))),0)</f>
        <v>0</v>
      </c>
      <c r="AE68" s="180">
        <f ca="1">IFERROR(IF($H67="No DD",0,IF(OR(ISBLANK(AE67),AE67="N/A"),0,INDEX(INDIRECT(BX68),MATCH(AE67,INDIRECT(BX67),0)))),0)</f>
        <v>0</v>
      </c>
      <c r="AF68" s="180">
        <f ca="1">IFERROR(IF($H67="No DD",0,IF(OR(ISBLANK(AF67),AF67="N/A"),0,INDEX(INDIRECT(BY68),MATCH(AF67,INDIRECT(BY67),0)))),0)</f>
        <v>0</v>
      </c>
      <c r="AG68" s="180">
        <f ca="1">IFERROR(IF($H67="No DD",0,IF(OR(ISBLANK(AG67),AG67="N/A"),0,INDEX(INDIRECT(BX68),MATCH(AG67,INDIRECT(BX67),0)))),0)</f>
        <v>0</v>
      </c>
      <c r="AH68" s="180">
        <f ca="1">IFERROR(IF($H67="No DD",0,IF(OR(ISBLANK(AH67),AH67="N/A"),0,INDEX(INDIRECT(BY68),MATCH(AH67,INDIRECT(BY67),0)))),0)</f>
        <v>0</v>
      </c>
      <c r="AI68" s="180">
        <f t="shared" ref="AI68" ca="1" si="2717">IFERROR(IF($H67="No DD",0,IF(OR(ISBLANK(AI67),AI67="N/A"),0,INDEX(INDIRECT(BX68),MATCH(AI67,INDIRECT(BX67),0)))),0)</f>
        <v>0</v>
      </c>
      <c r="AJ68" s="180">
        <f t="shared" ref="AJ68" ca="1" si="2718">IFERROR(IF($H67="No DD",0,IF(OR(ISBLANK(AJ67),AJ67="N/A"),0,INDEX(INDIRECT(BY68),MATCH(AJ67,INDIRECT(BY67),0)))),0)</f>
        <v>0</v>
      </c>
      <c r="AK68" s="180">
        <f t="shared" ref="AK68" ca="1" si="2719">IFERROR(IF($H67="No DD",0,IF(OR(ISBLANK(AK67),AK67="N/A"),0,INDEX(INDIRECT(BZ68),MATCH(AK67,INDIRECT(BZ67),0)))),0)</f>
        <v>0</v>
      </c>
      <c r="AL68" s="180">
        <f t="shared" ref="AL68" ca="1" si="2720">IFERROR(IF($H67="No DD",0,IF(OR(ISBLANK(AL67),AL67="N/A"),0,INDEX(INDIRECT(CA68),MATCH(AL67,INDIRECT(CA67),0)))),0)</f>
        <v>0</v>
      </c>
      <c r="AM68" s="180">
        <f t="shared" ref="AM68" ca="1" si="2721">IFERROR(IF($H67="No DD",0,IF(OR(ISBLANK(AM67),AM67="N/A"),0,INDEX(INDIRECT(CB68),MATCH(AM67,INDIRECT(CB67),0)))),0)</f>
        <v>0</v>
      </c>
      <c r="AN68" s="181" t="str">
        <f>IFERROR(IF(E68="H",INDEX(HybridBonus_Value,MATCH(AN67,HybridBonus_Code,0)),""),"")</f>
        <v/>
      </c>
      <c r="AO68" s="277" t="str">
        <f>IFERROR(IF(J67&lt;&gt;"",SUM(I68:AN68),""),"")</f>
        <v/>
      </c>
      <c r="AP68" s="62"/>
      <c r="AQ68" s="62"/>
      <c r="AR68" s="101"/>
      <c r="AS68" s="101"/>
      <c r="AT68" s="101"/>
      <c r="AU68" s="101"/>
      <c r="AV68" s="101"/>
      <c r="AW68" s="101"/>
      <c r="AX68" s="101"/>
      <c r="AY68" s="101"/>
      <c r="AZ68" s="101"/>
      <c r="BA68" s="101"/>
      <c r="BB68" s="101"/>
      <c r="BC68" s="101"/>
      <c r="BD68" s="101"/>
      <c r="BE68" s="101"/>
      <c r="BF68" s="101"/>
      <c r="BG68" s="90"/>
      <c r="BH68" s="101"/>
      <c r="BI68" s="91" t="str">
        <f t="shared" ref="BI68" si="2722">IF($E68="H","HybridDD_Value",IF($E68=3,"TreDD_Value",IF($E68="PA","AcroPair_Value",IF(LEFT($F67,4)="Acro",CONCATENATE(BI$16,$E68,"_Value"),""))))</f>
        <v/>
      </c>
      <c r="BJ68" s="91" t="str">
        <f t="shared" ref="BJ68:BK68" si="2723">IF($E68="H","HybridDD_Value",IF($E68=3,"",IF(LEFT($F67,4)="Acro",CONCATENATE(BJ$16,$E68,"_Value"),IF($E68="PA","",""))))</f>
        <v/>
      </c>
      <c r="BK68" s="91" t="str">
        <f t="shared" si="2723"/>
        <v/>
      </c>
      <c r="BL68" s="91" t="str">
        <f t="shared" ref="BL68:BQ68" si="2724">IF($E68="H","HybridDD_Value",IF($E68=3,"",IF(LEFT($F67,4)="Acro",CONCATENATE(BL$16,$E68,"_Value"),IF($E68="PA","",""))))</f>
        <v/>
      </c>
      <c r="BM68" s="91" t="str">
        <f t="shared" si="2724"/>
        <v/>
      </c>
      <c r="BN68" s="91" t="str">
        <f t="shared" si="2724"/>
        <v/>
      </c>
      <c r="BO68" s="91" t="str">
        <f t="shared" si="2724"/>
        <v/>
      </c>
      <c r="BP68" s="91" t="str">
        <f t="shared" si="2724"/>
        <v/>
      </c>
      <c r="BQ68" s="91" t="str">
        <f t="shared" si="2724"/>
        <v/>
      </c>
      <c r="BR68" s="90" t="str">
        <f t="shared" ref="BR68" si="2725">IF($E68="H","HybridDD_Value","Data!$BI$1:$BI$5")</f>
        <v>Data!$BI$1:$BI$5</v>
      </c>
      <c r="BS68" s="90" t="str">
        <f t="shared" si="2558"/>
        <v>Data!$BI$1:$BI$5</v>
      </c>
      <c r="BT68" s="90" t="str">
        <f t="shared" si="2558"/>
        <v>Data!$BI$1:$BI$5</v>
      </c>
      <c r="BU68" s="90" t="str">
        <f t="shared" si="2558"/>
        <v>Data!$BI$1:$BI$5</v>
      </c>
      <c r="BV68" s="90" t="str">
        <f t="shared" si="2558"/>
        <v>Data!$BI$1:$BI$5</v>
      </c>
      <c r="BW68" s="90" t="str">
        <f t="shared" si="2558"/>
        <v>Data!$BI$1:$BI$5</v>
      </c>
      <c r="BX68" s="90" t="str">
        <f t="shared" si="2558"/>
        <v>Data!$BI$1:$BI$5</v>
      </c>
      <c r="BY68" s="90" t="str">
        <f t="shared" si="2558"/>
        <v>Data!$BI$1:$BI$5</v>
      </c>
      <c r="BZ68" s="90" t="str">
        <f t="shared" si="2558"/>
        <v>Data!$BI$1:$BI$5</v>
      </c>
      <c r="CA68" s="90" t="str">
        <f t="shared" si="2558"/>
        <v>Data!$BI$1:$BI$5</v>
      </c>
      <c r="CB68" s="90" t="str">
        <f t="shared" si="2558"/>
        <v>Data!$BI$1:$BI$5</v>
      </c>
      <c r="CC68" s="90"/>
      <c r="CD68" s="90"/>
      <c r="CE68" s="90"/>
      <c r="CF68" s="90"/>
      <c r="CG68" s="90"/>
      <c r="CH68" s="90"/>
      <c r="CI68" s="90"/>
      <c r="CJ68" s="90"/>
      <c r="CK68" s="90"/>
      <c r="CL68" s="90"/>
      <c r="CM68" s="101"/>
      <c r="CN68" s="101"/>
      <c r="CO68" s="102" t="str">
        <f>IFERROR(IF(AND($BV$6="T",$BV$8="T",LEFT(F67,4)="Acro",AO68&gt;3),"X",IF($N$7="X",IF(AND(E68="C",AO68&gt;$CN$6),"X",IF(AND(E68="A",AO68&gt;$CN$4),"X",IF(AND(E68="B",AO68&gt;$CN$5),"X",IF(AND(E68="P",AO68&gt;$CN$7),"X","")))),"")),"")</f>
        <v/>
      </c>
      <c r="CP68" s="93"/>
      <c r="CQ68" s="91"/>
      <c r="CS68" s="91"/>
      <c r="CT68" s="91"/>
      <c r="CU68" s="91"/>
      <c r="CV68" s="91"/>
      <c r="CW68" s="91"/>
      <c r="CX68" s="91"/>
      <c r="CY68" s="91"/>
      <c r="CZ68" s="91"/>
      <c r="DD68" s="88" t="str">
        <f t="shared" si="2030"/>
        <v/>
      </c>
      <c r="DE68" s="88" t="str">
        <f t="shared" si="2031"/>
        <v/>
      </c>
      <c r="DF68" s="88" t="str">
        <f t="shared" si="2032"/>
        <v/>
      </c>
      <c r="DG68" s="88" t="str">
        <f t="shared" si="2033"/>
        <v/>
      </c>
      <c r="DO68" s="88">
        <v>50</v>
      </c>
      <c r="EI68" s="88" t="str" cm="1">
        <f t="array" ref="EI68">IFERROR(INDEX(EK68:FD68,MATCH(TRUE,INDEX((EK68:FD68&lt;&gt;""),),0)),"")</f>
        <v/>
      </c>
      <c r="EK68" s="88" t="str">
        <f t="shared" ref="EK68:FD68" si="2726">IF(F67="Hybrid - Thrust + 2 connections",IF(COUNTIF($EK67:$FD67,EK67)&gt;1,EK67,""),IF(COUNTIF($EK67:$FD67,EK67)&gt;5,EK67,""))</f>
        <v/>
      </c>
      <c r="EL68" s="88" t="str">
        <f t="shared" si="2726"/>
        <v/>
      </c>
      <c r="EM68" s="88" t="str">
        <f t="shared" si="2726"/>
        <v/>
      </c>
      <c r="EN68" s="88" t="str">
        <f t="shared" si="2726"/>
        <v/>
      </c>
      <c r="EO68" s="88" t="str">
        <f t="shared" si="2726"/>
        <v/>
      </c>
      <c r="EP68" s="88" t="str">
        <f t="shared" si="2726"/>
        <v/>
      </c>
      <c r="EQ68" s="88" t="str">
        <f t="shared" si="2726"/>
        <v/>
      </c>
      <c r="ER68" s="88" t="str">
        <f t="shared" si="2726"/>
        <v/>
      </c>
      <c r="ES68" s="88" t="str">
        <f t="shared" si="2726"/>
        <v/>
      </c>
      <c r="ET68" s="88" t="str">
        <f t="shared" si="2726"/>
        <v/>
      </c>
      <c r="EU68" s="88" t="str">
        <f t="shared" si="2726"/>
        <v/>
      </c>
      <c r="EV68" s="88" t="str">
        <f t="shared" si="2726"/>
        <v/>
      </c>
      <c r="EW68" s="88" t="str">
        <f t="shared" si="2726"/>
        <v/>
      </c>
      <c r="EX68" s="88" t="str">
        <f t="shared" si="2726"/>
        <v/>
      </c>
      <c r="EY68" s="88" t="str">
        <f t="shared" si="2726"/>
        <v/>
      </c>
      <c r="EZ68" s="88" t="str">
        <f t="shared" si="2726"/>
        <v/>
      </c>
      <c r="FA68" s="88" t="str">
        <f t="shared" si="2726"/>
        <v/>
      </c>
      <c r="FB68" s="88" t="str">
        <f t="shared" si="2726"/>
        <v/>
      </c>
      <c r="FC68" s="88" t="str">
        <f t="shared" si="2726"/>
        <v/>
      </c>
      <c r="FD68" s="88" t="str">
        <f t="shared" si="2726"/>
        <v/>
      </c>
      <c r="FE68" s="88"/>
      <c r="FF68" s="88"/>
      <c r="FG68" s="88"/>
      <c r="FH68" s="88"/>
      <c r="FI68" s="88"/>
      <c r="FJ68" s="88"/>
      <c r="FK68" s="88"/>
      <c r="FL68" s="88"/>
      <c r="FM68" s="88"/>
      <c r="FN68" s="88"/>
      <c r="FO68" s="88"/>
      <c r="FP68" s="88"/>
      <c r="FQ68" s="88" t="str" cm="1">
        <f t="array" ref="FQ68">IFERROR(INDEX(FR68:GK68,MATCH(TRUE,INDEX((FR68:GK68&lt;&gt;""),),0)),"")</f>
        <v/>
      </c>
      <c r="FR68" s="88" t="str">
        <f t="shared" ref="FR68:GK68" si="2727">IF(COUNTIF($FR67:$GK67,FR67)&gt;3,FR67,"")</f>
        <v/>
      </c>
      <c r="FS68" s="88" t="str">
        <f t="shared" si="2727"/>
        <v/>
      </c>
      <c r="FT68" s="88" t="str">
        <f t="shared" si="2727"/>
        <v/>
      </c>
      <c r="FU68" s="88" t="str">
        <f t="shared" si="2727"/>
        <v/>
      </c>
      <c r="FV68" s="88" t="str">
        <f t="shared" si="2727"/>
        <v/>
      </c>
      <c r="FW68" s="88" t="str">
        <f t="shared" si="2727"/>
        <v/>
      </c>
      <c r="FX68" s="88" t="str">
        <f t="shared" si="2727"/>
        <v/>
      </c>
      <c r="FY68" s="88" t="str">
        <f t="shared" si="2727"/>
        <v/>
      </c>
      <c r="FZ68" s="88" t="str">
        <f t="shared" si="2727"/>
        <v/>
      </c>
      <c r="GA68" s="88" t="str">
        <f t="shared" si="2727"/>
        <v/>
      </c>
      <c r="GB68" s="88" t="str">
        <f t="shared" si="2727"/>
        <v/>
      </c>
      <c r="GC68" s="88" t="str">
        <f t="shared" si="2727"/>
        <v/>
      </c>
      <c r="GD68" s="88" t="str">
        <f t="shared" si="2727"/>
        <v/>
      </c>
      <c r="GE68" s="88" t="str">
        <f t="shared" si="2727"/>
        <v/>
      </c>
      <c r="GF68" s="88" t="str">
        <f t="shared" si="2727"/>
        <v/>
      </c>
      <c r="GG68" s="88" t="str">
        <f t="shared" si="2727"/>
        <v/>
      </c>
      <c r="GH68" s="88" t="str">
        <f t="shared" si="2727"/>
        <v/>
      </c>
      <c r="GI68" s="88" t="str">
        <f t="shared" si="2727"/>
        <v/>
      </c>
      <c r="GJ68" s="88" t="str">
        <f t="shared" si="2727"/>
        <v/>
      </c>
      <c r="GK68" s="88" t="str">
        <f t="shared" si="2727"/>
        <v/>
      </c>
      <c r="GL68" s="88"/>
      <c r="GM68" s="88"/>
      <c r="GN68" s="88"/>
      <c r="GO68" s="88"/>
      <c r="GP68" s="88"/>
      <c r="GQ68" s="88"/>
      <c r="GR68" s="88"/>
      <c r="GS68" s="88"/>
      <c r="GT68" s="88"/>
      <c r="GU68" s="88"/>
      <c r="GV68" s="88"/>
      <c r="GW68" s="88"/>
      <c r="GX68" s="88"/>
      <c r="GY68" s="88"/>
      <c r="GZ68" s="88"/>
      <c r="HA68" s="88"/>
      <c r="HB68" s="88"/>
      <c r="HC68" s="88"/>
      <c r="HD68" s="88" t="str">
        <f>IF($F67="Hybrid - Thrust + 2 connections",COUNTBLANK(J67:L67),"")</f>
        <v/>
      </c>
      <c r="HE68" s="88"/>
      <c r="HF68" s="91"/>
      <c r="HG68" s="91"/>
      <c r="HH68" s="91"/>
      <c r="HI68" s="91"/>
    </row>
    <row r="69" spans="1:231" s="37" customFormat="1" ht="13" hidden="1" x14ac:dyDescent="0.35">
      <c r="A69" s="35"/>
      <c r="B69" s="35"/>
      <c r="C69" s="39"/>
      <c r="D69" s="39"/>
      <c r="E69" s="9"/>
      <c r="F69" s="36"/>
      <c r="G69" s="31"/>
      <c r="H69" s="43"/>
      <c r="I69" s="44"/>
      <c r="J69" s="109"/>
      <c r="K69" s="113"/>
      <c r="L69" s="109"/>
      <c r="M69" s="109"/>
      <c r="N69" s="112"/>
      <c r="O69" s="109"/>
      <c r="P69" s="109"/>
      <c r="Q69" s="109"/>
      <c r="R69" s="109"/>
      <c r="S69" s="109"/>
      <c r="T69" s="109"/>
      <c r="U69" s="109"/>
      <c r="V69" s="109"/>
      <c r="W69" s="109"/>
      <c r="X69" s="109"/>
      <c r="Y69" s="109"/>
      <c r="Z69" s="109"/>
      <c r="AA69" s="109"/>
      <c r="AB69" s="109"/>
      <c r="AC69" s="109"/>
      <c r="AD69" s="32"/>
      <c r="AE69" s="12"/>
      <c r="AG69" s="91"/>
      <c r="AH69" s="91"/>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3"/>
      <c r="BR69" s="103"/>
      <c r="BS69" s="103"/>
      <c r="BT69" s="103"/>
      <c r="BU69" s="103"/>
      <c r="BV69" s="103"/>
      <c r="BW69" s="103"/>
      <c r="BX69" s="103"/>
      <c r="BY69" s="91"/>
      <c r="BZ69" s="91"/>
      <c r="CA69" s="91"/>
      <c r="CB69" s="91"/>
      <c r="CC69" s="91"/>
      <c r="CD69" s="91"/>
      <c r="CE69" s="91"/>
      <c r="CF69" s="91"/>
      <c r="CG69" s="91"/>
      <c r="CH69" s="91"/>
      <c r="CI69" s="91"/>
      <c r="CJ69" s="91"/>
      <c r="CK69" s="91"/>
      <c r="CL69" s="91"/>
      <c r="CM69" s="91"/>
      <c r="CN69" s="91"/>
      <c r="CO69" s="91"/>
      <c r="CP69" s="88"/>
      <c r="CQ69" s="88"/>
      <c r="CR69" s="88"/>
      <c r="CS69" s="88"/>
      <c r="CT69" s="88"/>
      <c r="CU69" s="88"/>
      <c r="CV69" s="88"/>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103"/>
      <c r="EV69" s="103"/>
      <c r="EW69" s="103"/>
      <c r="EX69" s="103"/>
      <c r="EY69" s="103"/>
      <c r="EZ69" s="103"/>
      <c r="FA69" s="103"/>
      <c r="FB69" s="103"/>
      <c r="FC69" s="103"/>
      <c r="FD69" s="103"/>
      <c r="FE69" s="103"/>
      <c r="FF69" s="103"/>
      <c r="FG69" s="103"/>
      <c r="FH69" s="103"/>
      <c r="FI69" s="103"/>
      <c r="FJ69" s="103"/>
      <c r="FK69" s="103"/>
      <c r="FL69" s="103"/>
      <c r="FM69" s="103"/>
      <c r="FN69" s="103"/>
      <c r="FO69" s="103"/>
      <c r="FP69" s="103"/>
      <c r="FQ69" s="103"/>
      <c r="FR69" s="103"/>
      <c r="FS69" s="103"/>
      <c r="FT69" s="103"/>
      <c r="FU69" s="103"/>
      <c r="FV69" s="103"/>
      <c r="FW69" s="103"/>
      <c r="FX69" s="103"/>
      <c r="FY69" s="103"/>
      <c r="FZ69" s="103"/>
      <c r="GA69" s="103"/>
      <c r="GB69" s="103"/>
      <c r="GC69" s="103"/>
      <c r="GD69" s="103"/>
      <c r="GE69" s="103"/>
      <c r="GF69" s="103"/>
      <c r="GG69" s="103"/>
      <c r="GH69" s="103"/>
      <c r="GI69" s="103"/>
      <c r="GJ69" s="103"/>
      <c r="GK69" s="103"/>
      <c r="GL69" s="103"/>
      <c r="GM69" s="103"/>
      <c r="GN69" s="103"/>
      <c r="GO69" s="103"/>
      <c r="GP69" s="103"/>
      <c r="GQ69" s="103"/>
      <c r="GR69" s="103"/>
      <c r="GS69" s="103"/>
      <c r="GT69" s="103"/>
      <c r="GU69" s="103"/>
      <c r="GV69" s="103"/>
      <c r="GW69" s="103"/>
      <c r="GX69" s="103"/>
      <c r="HJ69" s="103"/>
      <c r="HK69" s="103"/>
      <c r="HL69" s="103"/>
      <c r="HM69" s="103"/>
      <c r="HN69" s="103"/>
      <c r="HO69" s="103"/>
      <c r="HP69" s="103"/>
      <c r="HQ69" s="103"/>
      <c r="HR69" s="103"/>
      <c r="HS69" s="103"/>
      <c r="HT69" s="103"/>
      <c r="HU69" s="103"/>
      <c r="HV69" s="103"/>
      <c r="HW69" s="103"/>
    </row>
    <row r="70" spans="1:231" x14ac:dyDescent="0.35">
      <c r="A70" s="29"/>
      <c r="B70" s="29"/>
      <c r="C70" s="29"/>
      <c r="D70" s="29"/>
      <c r="E70" s="30"/>
      <c r="F70" s="14"/>
      <c r="AG70" s="91"/>
      <c r="AH70" s="91"/>
      <c r="AI70" s="91"/>
      <c r="AJ70" s="91"/>
      <c r="AK70" s="91"/>
      <c r="AW70" s="103"/>
      <c r="AX70" s="103"/>
      <c r="AY70" s="103"/>
      <c r="AZ70" s="103"/>
      <c r="BA70" s="103"/>
      <c r="BB70" s="103"/>
      <c r="BC70" s="103"/>
      <c r="BD70" s="103"/>
      <c r="BE70" s="103"/>
      <c r="BF70" s="103"/>
      <c r="BG70" s="103"/>
      <c r="BH70" s="103"/>
      <c r="BI70" s="103"/>
      <c r="BJ70" s="103"/>
      <c r="BK70" s="103"/>
      <c r="BL70" s="103"/>
      <c r="BM70" s="103"/>
      <c r="BN70" s="103"/>
      <c r="BO70" s="103"/>
      <c r="BP70" s="103"/>
      <c r="BQ70" s="103"/>
      <c r="BR70" s="103"/>
      <c r="BS70" s="103"/>
      <c r="BT70" s="103"/>
      <c r="BU70" s="103"/>
      <c r="BV70" s="103"/>
      <c r="BW70" s="103"/>
      <c r="BX70" s="103"/>
      <c r="BY70" s="103"/>
      <c r="BZ70" s="103"/>
      <c r="CA70" s="103"/>
      <c r="CB70" s="103"/>
      <c r="CC70" s="103"/>
      <c r="CD70" s="103"/>
      <c r="CE70" s="103"/>
      <c r="CF70" s="103"/>
      <c r="CG70" s="103"/>
      <c r="CH70" s="103"/>
      <c r="CI70" s="103"/>
      <c r="CJ70" s="103"/>
      <c r="CK70" s="103"/>
      <c r="CL70" s="103"/>
      <c r="CM70" s="103"/>
      <c r="CN70" s="103"/>
      <c r="CO70" s="103"/>
      <c r="CP70" s="156"/>
      <c r="CQ70" s="156"/>
      <c r="CR70" s="156"/>
      <c r="CS70" s="156"/>
      <c r="CT70" s="156"/>
      <c r="CU70" s="156"/>
      <c r="CV70" s="156"/>
      <c r="CW70" s="156"/>
      <c r="CX70" s="156"/>
      <c r="CY70" s="156"/>
      <c r="CZ70" s="156"/>
      <c r="DA70" s="156"/>
      <c r="DB70" s="156"/>
      <c r="DC70" s="156"/>
      <c r="DD70" s="156"/>
      <c r="DE70" s="156"/>
      <c r="DF70" s="156"/>
      <c r="DG70" s="156"/>
      <c r="DH70" s="156"/>
      <c r="DI70" s="156"/>
      <c r="DJ70" s="156"/>
      <c r="DK70" s="156"/>
      <c r="DL70" s="156"/>
      <c r="DM70" s="156"/>
      <c r="DN70" s="156"/>
      <c r="DO70" s="156"/>
      <c r="DP70" s="156"/>
      <c r="DQ70" s="156"/>
      <c r="DR70" s="156"/>
      <c r="DS70" s="156"/>
      <c r="DT70" s="156"/>
      <c r="DU70" s="156"/>
      <c r="DV70" s="156"/>
      <c r="DW70" s="156"/>
      <c r="DX70" s="156"/>
      <c r="DY70" s="156"/>
      <c r="DZ70" s="156"/>
      <c r="EA70" s="156"/>
      <c r="EB70" s="156"/>
      <c r="EC70" s="156"/>
      <c r="ED70" s="156"/>
      <c r="EE70" s="156"/>
      <c r="EF70" s="156"/>
      <c r="EG70" s="156"/>
      <c r="EH70" s="156"/>
      <c r="EI70" s="156"/>
      <c r="EJ70" s="156"/>
      <c r="EK70" s="156"/>
      <c r="EL70" s="156"/>
      <c r="EM70" s="156"/>
      <c r="EN70" s="156"/>
      <c r="EO70" s="156"/>
      <c r="EP70" s="156"/>
      <c r="EQ70" s="156"/>
      <c r="ER70" s="156"/>
      <c r="ES70" s="156"/>
      <c r="ET70" s="156"/>
      <c r="EU70" s="103"/>
      <c r="EV70" s="103"/>
      <c r="EW70" s="103"/>
      <c r="EX70" s="103"/>
      <c r="EY70" s="103"/>
      <c r="EZ70" s="103"/>
      <c r="FA70" s="103"/>
      <c r="FB70" s="103"/>
      <c r="FC70" s="103"/>
      <c r="FD70" s="103"/>
      <c r="FE70" s="103"/>
      <c r="FF70" s="103"/>
      <c r="FG70" s="103"/>
      <c r="FH70" s="103"/>
      <c r="FI70" s="103"/>
      <c r="FJ70" s="103"/>
      <c r="FK70" s="103"/>
      <c r="FL70" s="103"/>
      <c r="FM70" s="103"/>
      <c r="FN70" s="103"/>
      <c r="FO70" s="103"/>
      <c r="FP70" s="103"/>
      <c r="FQ70" s="103"/>
      <c r="FR70" s="103"/>
      <c r="FS70" s="103"/>
      <c r="FT70" s="103"/>
      <c r="FU70" s="103"/>
      <c r="FV70" s="103"/>
      <c r="FW70" s="103"/>
      <c r="FX70" s="103"/>
      <c r="FY70" s="103"/>
      <c r="FZ70" s="103"/>
      <c r="GA70" s="103"/>
      <c r="GB70" s="103"/>
      <c r="GC70" s="103"/>
      <c r="GD70" s="103"/>
      <c r="GE70" s="103"/>
      <c r="GF70" s="103"/>
      <c r="GG70" s="103"/>
      <c r="GH70" s="103"/>
      <c r="GI70" s="103"/>
      <c r="GJ70" s="103"/>
      <c r="GK70" s="103"/>
      <c r="GL70" s="103"/>
      <c r="GM70" s="103"/>
      <c r="GN70" s="103"/>
      <c r="GO70" s="103"/>
      <c r="GP70" s="103"/>
      <c r="GQ70" s="103"/>
      <c r="GR70" s="103"/>
      <c r="GS70" s="103"/>
      <c r="GT70" s="103"/>
      <c r="GU70" s="103"/>
      <c r="GV70" s="103"/>
      <c r="GW70" s="103"/>
      <c r="GX70" s="103"/>
      <c r="GY70" s="37"/>
      <c r="GZ70" s="37"/>
      <c r="HA70" s="37"/>
      <c r="HB70" s="37"/>
      <c r="HC70" s="37"/>
      <c r="HD70" s="37"/>
      <c r="HE70" s="37"/>
      <c r="HF70" s="37"/>
      <c r="HG70" s="37"/>
      <c r="HH70" s="37"/>
      <c r="HI70" s="37"/>
      <c r="HJ70" s="103"/>
      <c r="HK70" s="103"/>
      <c r="HL70" s="103"/>
      <c r="HM70" s="103"/>
      <c r="HN70" s="103"/>
      <c r="HO70" s="103"/>
    </row>
    <row r="71" spans="1:231" ht="12.75" customHeight="1" x14ac:dyDescent="0.35">
      <c r="A71" s="29"/>
      <c r="B71" s="29"/>
      <c r="C71" s="29"/>
      <c r="D71" s="29"/>
      <c r="E71" s="29"/>
      <c r="F71" s="14"/>
      <c r="AG71" s="91"/>
      <c r="AH71" s="91"/>
      <c r="AI71" s="91"/>
      <c r="AJ71" s="91"/>
      <c r="AK71" s="91"/>
      <c r="CN71" s="91"/>
      <c r="CO71" s="91"/>
      <c r="EO71" s="88"/>
      <c r="EP71" s="88"/>
      <c r="EQ71" s="88"/>
      <c r="ER71" s="88"/>
      <c r="ES71" s="88"/>
      <c r="ET71" s="88"/>
    </row>
    <row r="72" spans="1:231" ht="12.75" customHeight="1" x14ac:dyDescent="0.35">
      <c r="A72" s="29"/>
      <c r="B72" s="29"/>
      <c r="C72" s="29"/>
      <c r="D72" s="29"/>
      <c r="E72" s="30"/>
      <c r="F72" s="14"/>
      <c r="EG72" s="88" t="s">
        <v>2516</v>
      </c>
      <c r="EH72" s="88" t="s">
        <v>2517</v>
      </c>
      <c r="FR72" s="88">
        <v>1</v>
      </c>
      <c r="FS72" s="88">
        <v>2</v>
      </c>
      <c r="FT72" s="88">
        <v>3</v>
      </c>
      <c r="FU72" s="88">
        <v>4</v>
      </c>
      <c r="FV72" s="88">
        <v>5</v>
      </c>
      <c r="FW72" s="88">
        <v>6</v>
      </c>
      <c r="FX72" s="88">
        <v>7</v>
      </c>
      <c r="FY72" s="88">
        <v>8</v>
      </c>
      <c r="FZ72" s="88">
        <v>9</v>
      </c>
      <c r="GA72" s="88">
        <v>10</v>
      </c>
      <c r="GB72" s="88">
        <v>11</v>
      </c>
      <c r="GC72" s="88">
        <v>12</v>
      </c>
      <c r="GD72" s="88">
        <v>13</v>
      </c>
      <c r="GE72" s="88">
        <v>14</v>
      </c>
      <c r="GF72" s="88">
        <v>15</v>
      </c>
      <c r="GG72" s="88">
        <v>16</v>
      </c>
      <c r="GH72" s="88">
        <v>17</v>
      </c>
      <c r="GI72" s="88">
        <v>18</v>
      </c>
      <c r="GJ72" s="88">
        <v>19</v>
      </c>
      <c r="GK72" s="88">
        <v>20</v>
      </c>
      <c r="GL72" s="88">
        <v>21</v>
      </c>
      <c r="GM72" s="88">
        <v>22</v>
      </c>
      <c r="GN72" s="88">
        <v>23</v>
      </c>
      <c r="GO72" s="88">
        <v>24</v>
      </c>
      <c r="GP72" s="88">
        <v>25</v>
      </c>
      <c r="GQ72" s="88">
        <v>26</v>
      </c>
      <c r="GR72" s="88">
        <v>27</v>
      </c>
      <c r="GS72" s="88">
        <v>28</v>
      </c>
      <c r="GT72" s="88">
        <v>29</v>
      </c>
      <c r="GU72" s="88">
        <v>30</v>
      </c>
    </row>
    <row r="73" spans="1:231" ht="12.75" customHeight="1" x14ac:dyDescent="0.35">
      <c r="A73" s="29"/>
      <c r="B73" s="29"/>
      <c r="C73" s="29"/>
      <c r="D73" s="29"/>
      <c r="E73" s="29"/>
      <c r="G73" s="12" t="s">
        <v>580</v>
      </c>
      <c r="H73" s="14">
        <v>1</v>
      </c>
      <c r="K73" s="12" t="s">
        <v>584</v>
      </c>
      <c r="L73" s="14">
        <v>2</v>
      </c>
      <c r="O73" s="12" t="s">
        <v>585</v>
      </c>
      <c r="P73" s="14">
        <v>3</v>
      </c>
      <c r="S73" s="12" t="s">
        <v>586</v>
      </c>
      <c r="T73" s="14">
        <v>4</v>
      </c>
      <c r="W73" s="12" t="s">
        <v>587</v>
      </c>
      <c r="X73" s="14">
        <v>5</v>
      </c>
      <c r="AA73" s="12" t="s">
        <v>588</v>
      </c>
      <c r="AB73" s="14">
        <v>6</v>
      </c>
      <c r="AE73" s="12" t="s">
        <v>589</v>
      </c>
      <c r="AF73" s="14">
        <v>7</v>
      </c>
      <c r="AI73" s="12" t="s">
        <v>590</v>
      </c>
      <c r="AJ73" s="105">
        <v>8</v>
      </c>
      <c r="AK73" s="106"/>
      <c r="AL73" s="106"/>
      <c r="AM73" s="106" t="s">
        <v>591</v>
      </c>
      <c r="AN73" s="105">
        <v>9</v>
      </c>
      <c r="AO73" s="106"/>
      <c r="AP73" s="106"/>
      <c r="AQ73" s="106"/>
      <c r="AR73" s="106"/>
      <c r="AS73" s="106"/>
      <c r="AT73" s="106"/>
      <c r="AU73" s="106"/>
      <c r="AV73" s="106"/>
      <c r="AY73" s="106"/>
      <c r="AZ73" s="106"/>
      <c r="BA73" s="106"/>
      <c r="BB73" s="106"/>
      <c r="BC73" s="106"/>
      <c r="BD73" s="106"/>
      <c r="BE73" s="106"/>
      <c r="BF73" s="106"/>
      <c r="BG73" s="106"/>
      <c r="BH73" s="106"/>
      <c r="BI73" s="106"/>
      <c r="BJ73" s="106"/>
      <c r="BK73" s="106"/>
      <c r="BL73" s="106"/>
      <c r="BM73" s="106"/>
      <c r="BN73" s="106"/>
      <c r="BP73" s="88"/>
      <c r="BS73" s="88"/>
      <c r="CB73" s="88"/>
      <c r="CC73" s="88"/>
      <c r="CD73" s="88"/>
      <c r="CE73" s="88"/>
      <c r="CF73" s="88"/>
      <c r="CG73" s="88"/>
      <c r="CH73" s="88"/>
      <c r="CI73" s="88"/>
      <c r="CJ73" s="88"/>
      <c r="CK73" s="88"/>
      <c r="CL73" s="88"/>
      <c r="CM73" s="88"/>
      <c r="EG73" s="88">
        <f>COUNTIF(EK73:FN73,0.3)</f>
        <v>0</v>
      </c>
      <c r="EH73" s="88">
        <f>COUNTIF(EK73:FN73,0.5)</f>
        <v>0</v>
      </c>
      <c r="EI73" s="88" t="str">
        <f>IF(AND(T5="",OR(EG73&gt;5,EH73&gt;5,FP73&lt;&gt;"")),"X",IF(SUM(EK73:FN73)&gt;5,"X",""))</f>
        <v/>
      </c>
      <c r="EK73" s="88" t="str">
        <f>IF($T$5="",IF(RIGHT(J19,4)="*0,5",0.5,IF(RIGHT(J19,4)="*0,3",0.3,IF(EK20&lt;&gt;"",1,""))),IF(EK20&lt;&gt;"",IF(OR(RIGHT(J19,4)="*0,5",RIGHT(J19,4)="*0,3"),0.5,1),""))</f>
        <v/>
      </c>
      <c r="EL73" s="88" t="str">
        <f t="shared" ref="EL73:FN73" si="2728">IF($T$5="",IF(RIGHT(K19,4)="*0,5",0.5,IF(RIGHT(K19,4)="*0,3",0.3,IF(EL20&lt;&gt;"",1,""))),IF(EL20&lt;&gt;"",IF(OR(RIGHT(K19,4)="*0,5",RIGHT(K19,4)="*0,3"),0.5,1),""))</f>
        <v/>
      </c>
      <c r="EM73" s="88" t="str">
        <f t="shared" si="2728"/>
        <v/>
      </c>
      <c r="EN73" s="88" t="str">
        <f t="shared" si="2728"/>
        <v/>
      </c>
      <c r="EO73" s="88" t="str">
        <f t="shared" si="2728"/>
        <v/>
      </c>
      <c r="EP73" s="88" t="str">
        <f t="shared" si="2728"/>
        <v/>
      </c>
      <c r="EQ73" s="88" t="str">
        <f t="shared" si="2728"/>
        <v/>
      </c>
      <c r="ER73" s="88" t="str">
        <f t="shared" si="2728"/>
        <v/>
      </c>
      <c r="ES73" s="88" t="str">
        <f t="shared" si="2728"/>
        <v/>
      </c>
      <c r="ET73" s="88" t="str">
        <f t="shared" si="2728"/>
        <v/>
      </c>
      <c r="EU73" s="88" t="str">
        <f t="shared" si="2728"/>
        <v/>
      </c>
      <c r="EV73" s="88" t="str">
        <f t="shared" si="2728"/>
        <v/>
      </c>
      <c r="EW73" s="88" t="str">
        <f t="shared" si="2728"/>
        <v/>
      </c>
      <c r="EX73" s="88" t="str">
        <f t="shared" si="2728"/>
        <v/>
      </c>
      <c r="EY73" s="88" t="str">
        <f t="shared" si="2728"/>
        <v/>
      </c>
      <c r="EZ73" s="88" t="str">
        <f t="shared" si="2728"/>
        <v/>
      </c>
      <c r="FA73" s="88" t="str">
        <f t="shared" si="2728"/>
        <v/>
      </c>
      <c r="FB73" s="88" t="str">
        <f t="shared" si="2728"/>
        <v/>
      </c>
      <c r="FC73" s="88" t="str">
        <f t="shared" si="2728"/>
        <v/>
      </c>
      <c r="FD73" s="88" t="str">
        <f t="shared" si="2728"/>
        <v/>
      </c>
      <c r="FE73" s="88" t="str">
        <f t="shared" si="2728"/>
        <v/>
      </c>
      <c r="FF73" s="88" t="str">
        <f t="shared" si="2728"/>
        <v/>
      </c>
      <c r="FG73" s="88" t="str">
        <f t="shared" si="2728"/>
        <v/>
      </c>
      <c r="FH73" s="88" t="str">
        <f t="shared" si="2728"/>
        <v/>
      </c>
      <c r="FI73" s="88" t="str">
        <f t="shared" si="2728"/>
        <v/>
      </c>
      <c r="FJ73" s="88" t="str">
        <f t="shared" si="2728"/>
        <v/>
      </c>
      <c r="FK73" s="88" t="str">
        <f t="shared" si="2728"/>
        <v/>
      </c>
      <c r="FL73" s="88" t="str">
        <f t="shared" si="2728"/>
        <v/>
      </c>
      <c r="FM73" s="88" t="str">
        <f t="shared" si="2728"/>
        <v/>
      </c>
      <c r="FN73" s="88" t="str">
        <f t="shared" si="2728"/>
        <v/>
      </c>
      <c r="FO73" s="91">
        <v>0</v>
      </c>
      <c r="FP73" s="88" t="str">
        <f>IF(SUM(FR76:GU76)&gt;2,FQ73,"")</f>
        <v/>
      </c>
      <c r="FQ73" s="88" t="str" cm="1">
        <f t="array" ref="FQ73">IF(SUM(FR75:GU75)&gt;0,_xlfn.LET(_xlpm.area,FR73:GU73,_xlpm.texts,_xlfn.UNIQUE(_xlfn._xlws.FILTER(_xlpm.area,_xlpm.area&lt;&gt;"")),_xlpm.number,COUNTIF(_xlpm.area,_xlpm.texts),INDEX(_xlpm.texts,MATCH(MAX(_xlpm.number),_xlpm.number,0))),"")</f>
        <v/>
      </c>
      <c r="FR73" s="88" cm="1">
        <f t="array" ref="FR73">_xlfn.LET(_xlpm.rad,$FO73+1,_xlpm.typ,INDEX($E$20:$E$68,_xlpm.rad),_xlpm.kod,INDEX(J$19:J$68,_xlpm.rad),IFERROR(IF(AND(_xlpm.typ="H",_xlpm.kod&lt;&gt;""),UPPER(_xlpm.kod),FR$18),FR$18))</f>
        <v>1</v>
      </c>
      <c r="FS73" s="88" cm="1">
        <f t="array" ref="FS73">_xlfn.LET(_xlpm.rad,$FO73+1,_xlpm.typ,INDEX($E$20:$E$68,_xlpm.rad),_xlpm.kod,INDEX(K$19:K$68,_xlpm.rad),IFERROR(IF(AND(_xlpm.typ="H",_xlpm.kod&lt;&gt;""),UPPER(_xlpm.kod),FS$18),FS$18))</f>
        <v>2</v>
      </c>
      <c r="FT73" s="88" cm="1">
        <f t="array" ref="FT73">_xlfn.LET(_xlpm.rad,$FO73+1,_xlpm.typ,INDEX($E$20:$E$68,_xlpm.rad),_xlpm.kod,INDEX(L$19:L$68,_xlpm.rad),IFERROR(IF(AND(_xlpm.typ="H",_xlpm.kod&lt;&gt;""),UPPER(_xlpm.kod),FT$18),FT$18))</f>
        <v>3</v>
      </c>
      <c r="FU73" s="88" cm="1">
        <f t="array" ref="FU73">_xlfn.LET(_xlpm.rad,$FO73+1,_xlpm.typ,INDEX($E$20:$E$68,_xlpm.rad),_xlpm.kod,INDEX(M$19:M$68,_xlpm.rad),IFERROR(IF(AND(_xlpm.typ="H",_xlpm.kod&lt;&gt;""),UPPER(_xlpm.kod),FU$18),FU$18))</f>
        <v>4</v>
      </c>
      <c r="FV73" s="88" cm="1">
        <f t="array" ref="FV73">_xlfn.LET(_xlpm.rad,$FO73+1,_xlpm.typ,INDEX($E$20:$E$68,_xlpm.rad),_xlpm.kod,INDEX(N$19:N$68,_xlpm.rad),IFERROR(IF(AND(_xlpm.typ="H",_xlpm.kod&lt;&gt;""),UPPER(_xlpm.kod),FV$18),FV$18))</f>
        <v>5</v>
      </c>
      <c r="FW73" s="88" cm="1">
        <f t="array" ref="FW73">_xlfn.LET(_xlpm.rad,$FO73+1,_xlpm.typ,INDEX($E$20:$E$68,_xlpm.rad),_xlpm.kod,INDEX(O$19:O$68,_xlpm.rad),IFERROR(IF(AND(_xlpm.typ="H",_xlpm.kod&lt;&gt;""),UPPER(_xlpm.kod),FW$18),FW$18))</f>
        <v>6</v>
      </c>
      <c r="FX73" s="88" cm="1">
        <f t="array" ref="FX73">_xlfn.LET(_xlpm.rad,$FO73+1,_xlpm.typ,INDEX($E$20:$E$68,_xlpm.rad),_xlpm.kod,INDEX(P$19:P$68,_xlpm.rad),IFERROR(IF(AND(_xlpm.typ="H",_xlpm.kod&lt;&gt;""),UPPER(_xlpm.kod),FX$18),FX$18))</f>
        <v>7</v>
      </c>
      <c r="FY73" s="88" cm="1">
        <f t="array" ref="FY73">_xlfn.LET(_xlpm.rad,$FO73+1,_xlpm.typ,INDEX($E$20:$E$68,_xlpm.rad),_xlpm.kod,INDEX(Q$19:Q$68,_xlpm.rad),IFERROR(IF(AND(_xlpm.typ="H",_xlpm.kod&lt;&gt;""),UPPER(_xlpm.kod),FY$18),FY$18))</f>
        <v>8</v>
      </c>
      <c r="FZ73" s="88" cm="1">
        <f t="array" ref="FZ73">_xlfn.LET(_xlpm.rad,$FO73+1,_xlpm.typ,INDEX($E$20:$E$68,_xlpm.rad),_xlpm.kod,INDEX(R$19:R$68,_xlpm.rad),IFERROR(IF(AND(_xlpm.typ="H",_xlpm.kod&lt;&gt;""),UPPER(_xlpm.kod),FZ$18),FZ$18))</f>
        <v>9</v>
      </c>
      <c r="GA73" s="88" cm="1">
        <f t="array" ref="GA73">_xlfn.LET(_xlpm.rad,$FO73+1,_xlpm.typ,INDEX($E$20:$E$68,_xlpm.rad),_xlpm.kod,INDEX(S$19:S$68,_xlpm.rad),IFERROR(IF(AND(_xlpm.typ="H",_xlpm.kod&lt;&gt;""),UPPER(_xlpm.kod),GA$18),GA$18))</f>
        <v>10</v>
      </c>
      <c r="GB73" s="88" cm="1">
        <f t="array" ref="GB73">_xlfn.LET(_xlpm.rad,$FO73+1,_xlpm.typ,INDEX($E$20:$E$68,_xlpm.rad),_xlpm.kod,INDEX(T$19:T$68,_xlpm.rad),IFERROR(IF(AND(_xlpm.typ="H",_xlpm.kod&lt;&gt;""),UPPER(_xlpm.kod),GB$18),GB$18))</f>
        <v>11</v>
      </c>
      <c r="GC73" s="88" cm="1">
        <f t="array" ref="GC73">_xlfn.LET(_xlpm.rad,$FO73+1,_xlpm.typ,INDEX($E$20:$E$68,_xlpm.rad),_xlpm.kod,INDEX(U$19:U$68,_xlpm.rad),IFERROR(IF(AND(_xlpm.typ="H",_xlpm.kod&lt;&gt;""),UPPER(_xlpm.kod),GC$18),GC$18))</f>
        <v>12</v>
      </c>
      <c r="GD73" s="88" cm="1">
        <f t="array" ref="GD73">_xlfn.LET(_xlpm.rad,$FO73+1,_xlpm.typ,INDEX($E$20:$E$68,_xlpm.rad),_xlpm.kod,INDEX(V$19:V$68,_xlpm.rad),IFERROR(IF(AND(_xlpm.typ="H",_xlpm.kod&lt;&gt;""),UPPER(_xlpm.kod),GD$18),GD$18))</f>
        <v>13</v>
      </c>
      <c r="GE73" s="88" cm="1">
        <f t="array" ref="GE73">_xlfn.LET(_xlpm.rad,$FO73+1,_xlpm.typ,INDEX($E$20:$E$68,_xlpm.rad),_xlpm.kod,INDEX(W$19:W$68,_xlpm.rad),IFERROR(IF(AND(_xlpm.typ="H",_xlpm.kod&lt;&gt;""),UPPER(_xlpm.kod),GE$18),GE$18))</f>
        <v>14</v>
      </c>
      <c r="GF73" s="88" cm="1">
        <f t="array" ref="GF73">_xlfn.LET(_xlpm.rad,$FO73+1,_xlpm.typ,INDEX($E$20:$E$68,_xlpm.rad),_xlpm.kod,INDEX(X$19:X$68,_xlpm.rad),IFERROR(IF(AND(_xlpm.typ="H",_xlpm.kod&lt;&gt;""),UPPER(_xlpm.kod),GF$18),GF$18))</f>
        <v>15</v>
      </c>
      <c r="GG73" s="88" cm="1">
        <f t="array" ref="GG73">_xlfn.LET(_xlpm.rad,$FO73+1,_xlpm.typ,INDEX($E$20:$E$68,_xlpm.rad),_xlpm.kod,INDEX(Y$19:Y$68,_xlpm.rad),IFERROR(IF(AND(_xlpm.typ="H",_xlpm.kod&lt;&gt;""),UPPER(_xlpm.kod),GG$18),GG$18))</f>
        <v>16</v>
      </c>
      <c r="GH73" s="88" cm="1">
        <f t="array" ref="GH73">_xlfn.LET(_xlpm.rad,$FO73+1,_xlpm.typ,INDEX($E$20:$E$68,_xlpm.rad),_xlpm.kod,INDEX(Z$19:Z$68,_xlpm.rad),IFERROR(IF(AND(_xlpm.typ="H",_xlpm.kod&lt;&gt;""),UPPER(_xlpm.kod),GH$18),GH$18))</f>
        <v>17</v>
      </c>
      <c r="GI73" s="88" cm="1">
        <f t="array" ref="GI73">_xlfn.LET(_xlpm.rad,$FO73+1,_xlpm.typ,INDEX($E$20:$E$68,_xlpm.rad),_xlpm.kod,INDEX(AA$19:AA$68,_xlpm.rad),IFERROR(IF(AND(_xlpm.typ="H",_xlpm.kod&lt;&gt;""),UPPER(_xlpm.kod),GI$18),GI$18))</f>
        <v>18</v>
      </c>
      <c r="GJ73" s="88" cm="1">
        <f t="array" ref="GJ73">_xlfn.LET(_xlpm.rad,$FO73+1,_xlpm.typ,INDEX($E$20:$E$68,_xlpm.rad),_xlpm.kod,INDEX(AB$19:AB$68,_xlpm.rad),IFERROR(IF(AND(_xlpm.typ="H",_xlpm.kod&lt;&gt;""),UPPER(_xlpm.kod),GJ$18),GJ$18))</f>
        <v>19</v>
      </c>
      <c r="GK73" s="88" cm="1">
        <f t="array" ref="GK73">_xlfn.LET(_xlpm.rad,$FO73+1,_xlpm.typ,INDEX($E$20:$E$68,_xlpm.rad),_xlpm.kod,INDEX(AC$19:AC$68,_xlpm.rad),IFERROR(IF(AND(_xlpm.typ="H",_xlpm.kod&lt;&gt;""),UPPER(_xlpm.kod),GK$18),GK$18))</f>
        <v>20</v>
      </c>
      <c r="GL73" s="88" cm="1">
        <f t="array" ref="GL73">_xlfn.LET(_xlpm.rad,$FO73+1,_xlpm.typ,INDEX($E$20:$E$68,_xlpm.rad),_xlpm.kod,INDEX(AD$19:AD$68,_xlpm.rad),IFERROR(IF(AND(_xlpm.typ="H",_xlpm.kod&lt;&gt;""),UPPER(_xlpm.kod),GL$18),GL$18))</f>
        <v>21</v>
      </c>
      <c r="GM73" s="88" cm="1">
        <f t="array" ref="GM73">_xlfn.LET(_xlpm.rad,$FO73+1,_xlpm.typ,INDEX($E$20:$E$68,_xlpm.rad),_xlpm.kod,INDEX(AE$19:AE$68,_xlpm.rad),IFERROR(IF(AND(_xlpm.typ="H",_xlpm.kod&lt;&gt;""),UPPER(_xlpm.kod),GM$18),GM$18))</f>
        <v>22</v>
      </c>
      <c r="GN73" s="88" cm="1">
        <f t="array" ref="GN73">_xlfn.LET(_xlpm.rad,$FO73+1,_xlpm.typ,INDEX($E$20:$E$68,_xlpm.rad),_xlpm.kod,INDEX(AF$19:AF$68,_xlpm.rad),IFERROR(IF(AND(_xlpm.typ="H",_xlpm.kod&lt;&gt;""),UPPER(_xlpm.kod),GN$18),GN$18))</f>
        <v>23</v>
      </c>
      <c r="GO73" s="88" cm="1">
        <f t="array" ref="GO73">_xlfn.LET(_xlpm.rad,$FO73+1,_xlpm.typ,INDEX($E$20:$E$68,_xlpm.rad),_xlpm.kod,INDEX(AG$19:AG$68,_xlpm.rad),IFERROR(IF(AND(_xlpm.typ="H",_xlpm.kod&lt;&gt;""),UPPER(_xlpm.kod),GO$18),GO$18))</f>
        <v>24</v>
      </c>
      <c r="GP73" s="88" cm="1">
        <f t="array" ref="GP73">_xlfn.LET(_xlpm.rad,$FO73+1,_xlpm.typ,INDEX($E$20:$E$68,_xlpm.rad),_xlpm.kod,INDEX(AH$19:AH$68,_xlpm.rad),IFERROR(IF(AND(_xlpm.typ="H",_xlpm.kod&lt;&gt;""),UPPER(_xlpm.kod),GP$18),GP$18))</f>
        <v>25</v>
      </c>
      <c r="GQ73" s="88" cm="1">
        <f t="array" ref="GQ73">_xlfn.LET(_xlpm.rad,$FO73+1,_xlpm.typ,INDEX($E$20:$E$68,_xlpm.rad),_xlpm.kod,INDEX(AI$19:AI$68,_xlpm.rad),IFERROR(IF(AND(_xlpm.typ="H",_xlpm.kod&lt;&gt;""),UPPER(_xlpm.kod),GQ$18),GQ$18))</f>
        <v>26</v>
      </c>
      <c r="GR73" s="88" cm="1">
        <f t="array" ref="GR73">_xlfn.LET(_xlpm.rad,$FO73+1,_xlpm.typ,INDEX($E$20:$E$68,_xlpm.rad),_xlpm.kod,INDEX(AJ$19:AJ$68,_xlpm.rad),IFERROR(IF(AND(_xlpm.typ="H",_xlpm.kod&lt;&gt;""),UPPER(_xlpm.kod),GR$18),GR$18))</f>
        <v>27</v>
      </c>
      <c r="GS73" s="88" cm="1">
        <f t="array" ref="GS73">_xlfn.LET(_xlpm.rad,$FO73+1,_xlpm.typ,INDEX($E$20:$E$68,_xlpm.rad),_xlpm.kod,INDEX(AK$19:AK$68,_xlpm.rad),IFERROR(IF(AND(_xlpm.typ="H",_xlpm.kod&lt;&gt;""),UPPER(_xlpm.kod),GS$18),GS$18))</f>
        <v>28</v>
      </c>
      <c r="GT73" s="88" cm="1">
        <f t="array" ref="GT73">_xlfn.LET(_xlpm.rad,$FO73+1,_xlpm.typ,INDEX($E$20:$E$68,_xlpm.rad),_xlpm.kod,INDEX(AL$19:AL$68,_xlpm.rad),IFERROR(IF(AND(_xlpm.typ="H",_xlpm.kod&lt;&gt;""),UPPER(_xlpm.kod),GT$18),GT$18))</f>
        <v>29</v>
      </c>
      <c r="GU73" s="88" cm="1">
        <f t="array" ref="GU73">_xlfn.LET(_xlpm.rad,$FO73+1,_xlpm.typ,INDEX($E$20:$E$68,_xlpm.rad),_xlpm.kod,INDEX(AM$19:AM$68,_xlpm.rad),IFERROR(IF(AND(_xlpm.typ="H",_xlpm.kod&lt;&gt;""),UPPER(_xlpm.kod),GU$18),GU$18))</f>
        <v>30</v>
      </c>
    </row>
    <row r="74" spans="1:231" ht="12.75" customHeight="1" x14ac:dyDescent="0.35">
      <c r="A74" s="29"/>
      <c r="B74" s="29"/>
      <c r="C74" s="29"/>
      <c r="D74" s="29"/>
      <c r="E74" s="30"/>
      <c r="G74" s="12" t="s">
        <v>581</v>
      </c>
      <c r="H74" s="14" t="s">
        <v>20</v>
      </c>
      <c r="I74" s="12" t="s">
        <v>582</v>
      </c>
      <c r="J74" s="12" t="s">
        <v>583</v>
      </c>
      <c r="K74" s="12" t="s">
        <v>581</v>
      </c>
      <c r="L74" s="14" t="s">
        <v>20</v>
      </c>
      <c r="M74" s="12" t="s">
        <v>582</v>
      </c>
      <c r="N74" s="12" t="s">
        <v>583</v>
      </c>
      <c r="O74" s="12" t="s">
        <v>581</v>
      </c>
      <c r="P74" s="14" t="s">
        <v>20</v>
      </c>
      <c r="Q74" s="12" t="s">
        <v>582</v>
      </c>
      <c r="R74" s="12" t="s">
        <v>583</v>
      </c>
      <c r="S74" s="12" t="s">
        <v>581</v>
      </c>
      <c r="T74" s="14" t="s">
        <v>20</v>
      </c>
      <c r="U74" s="12" t="s">
        <v>582</v>
      </c>
      <c r="V74" s="12" t="s">
        <v>583</v>
      </c>
      <c r="W74" s="12" t="s">
        <v>581</v>
      </c>
      <c r="X74" s="14" t="s">
        <v>20</v>
      </c>
      <c r="Y74" s="12" t="s">
        <v>582</v>
      </c>
      <c r="Z74" s="12" t="s">
        <v>583</v>
      </c>
      <c r="AA74" s="12" t="s">
        <v>581</v>
      </c>
      <c r="AB74" s="14" t="s">
        <v>20</v>
      </c>
      <c r="AC74" s="12" t="s">
        <v>582</v>
      </c>
      <c r="AD74" s="12" t="s">
        <v>583</v>
      </c>
      <c r="AE74" s="12" t="s">
        <v>581</v>
      </c>
      <c r="AF74" s="14" t="s">
        <v>20</v>
      </c>
      <c r="AG74" s="12" t="s">
        <v>582</v>
      </c>
      <c r="AH74" s="12" t="s">
        <v>583</v>
      </c>
      <c r="AI74" s="12" t="s">
        <v>581</v>
      </c>
      <c r="AJ74" s="14" t="s">
        <v>20</v>
      </c>
      <c r="AK74" s="12" t="s">
        <v>582</v>
      </c>
      <c r="AL74" s="12" t="s">
        <v>583</v>
      </c>
      <c r="AM74" s="12" t="s">
        <v>581</v>
      </c>
      <c r="AN74" s="14" t="s">
        <v>20</v>
      </c>
      <c r="AO74" s="12" t="s">
        <v>582</v>
      </c>
      <c r="AP74" s="12" t="s">
        <v>583</v>
      </c>
      <c r="AQ74" s="12"/>
      <c r="AR74" s="12"/>
      <c r="AS74" s="12"/>
      <c r="AT74" s="12"/>
      <c r="AU74" s="12"/>
      <c r="AV74" s="12"/>
      <c r="AY74" s="12"/>
      <c r="AZ74" s="12"/>
      <c r="BA74" s="12"/>
      <c r="BB74" s="12"/>
      <c r="BC74" s="12"/>
      <c r="BD74" s="12"/>
      <c r="BE74" s="12"/>
      <c r="BF74" s="12"/>
      <c r="BG74" s="12"/>
      <c r="BH74" s="12"/>
      <c r="BI74" s="12"/>
      <c r="BJ74" s="12"/>
      <c r="BK74" s="12"/>
      <c r="BL74" s="12"/>
      <c r="BM74" s="12"/>
      <c r="BN74" s="12"/>
      <c r="BP74" s="88"/>
      <c r="BS74" s="88"/>
      <c r="CB74" s="88"/>
      <c r="CC74" s="88"/>
      <c r="CD74" s="88"/>
      <c r="CE74" s="88"/>
      <c r="CF74" s="88"/>
      <c r="CG74" s="88"/>
      <c r="CH74" s="88"/>
      <c r="CI74" s="88"/>
      <c r="CJ74" s="88"/>
      <c r="CK74" s="88"/>
      <c r="CL74" s="88"/>
      <c r="CM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R74" s="88" cm="1">
        <f t="array" ref="FR74">_xlfn.LET(_xlpm.rad,$FO73+1,_xlpm.typ,INDEX($E$20:$E$68,_xlpm.rad),_xlpm.kod,INDEX(J$19:J$68,_xlpm.rad),_xlpm.del,INDEX($F$19:$F$68,_xlpm.rad),IFERROR(IF(AND(_xlpm.typ="H",_xlpm.kod&lt;&gt;"",_xlpm.del&lt;&gt;"Hybrid - Thrust + 2 connections"),INDEX(Hyb_Tech,MATCH(_xlpm.kod,Hyb_Code,0)),FR$72),FR$72))</f>
        <v>1</v>
      </c>
      <c r="FS74" s="88" cm="1">
        <f t="array" ref="FS74">_xlfn.LET(_xlpm.rad,$FO73+1,_xlpm.typ,INDEX($E$20:$E$68,_xlpm.rad),_xlpm.kod,INDEX(K$19:K$68,_xlpm.rad),_xlpm.del,INDEX($F$19:$F$68,_xlpm.rad),IFERROR(IF(AND(_xlpm.typ="H",_xlpm.kod&lt;&gt;"",_xlpm.del&lt;&gt;"Hybrid - Thrust + 2 connections"),INDEX(Hyb_Tech,MATCH(_xlpm.kod,Hyb_Code,0)),FS$72),FS$72))</f>
        <v>2</v>
      </c>
      <c r="FT74" s="88" cm="1">
        <f t="array" ref="FT74">_xlfn.LET(_xlpm.rad,$FO73+1,_xlpm.typ,INDEX($E$20:$E$68,_xlpm.rad),_xlpm.kod,INDEX(L$19:L$68,_xlpm.rad),_xlpm.del,INDEX($F$19:$F$68,_xlpm.rad),IFERROR(IF(AND(_xlpm.typ="H",_xlpm.kod&lt;&gt;"",_xlpm.del&lt;&gt;"Hybrid - Thrust + 2 connections"),INDEX(Hyb_Tech,MATCH(_xlpm.kod,Hyb_Code,0)),FT$72),FT$72))</f>
        <v>3</v>
      </c>
      <c r="FU74" s="88" cm="1">
        <f t="array" ref="FU74">_xlfn.LET(_xlpm.rad,$FO73+1,_xlpm.typ,INDEX($E$20:$E$68,_xlpm.rad),_xlpm.kod,INDEX(M$19:M$68,_xlpm.rad),_xlpm.del,INDEX($F$19:$F$68,_xlpm.rad),IFERROR(IF(AND(_xlpm.typ="H",_xlpm.kod&lt;&gt;"",_xlpm.del&lt;&gt;"Hybrid - Thrust + 2 connections"),INDEX(Hyb_Tech,MATCH(_xlpm.kod,Hyb_Code,0)),FU$72),FU$72))</f>
        <v>4</v>
      </c>
      <c r="FV74" s="88" cm="1">
        <f t="array" ref="FV74">_xlfn.LET(_xlpm.rad,$FO73+1,_xlpm.typ,INDEX($E$20:$E$68,_xlpm.rad),_xlpm.kod,INDEX(N$19:N$68,_xlpm.rad),_xlpm.del,INDEX($F$19:$F$68,_xlpm.rad),IFERROR(IF(AND(_xlpm.typ="H",_xlpm.kod&lt;&gt;"",_xlpm.del&lt;&gt;"Hybrid - Thrust + 2 connections"),INDEX(Hyb_Tech,MATCH(_xlpm.kod,Hyb_Code,0)),FV$72),FV$72))</f>
        <v>5</v>
      </c>
      <c r="FW74" s="88" cm="1">
        <f t="array" ref="FW74">_xlfn.LET(_xlpm.rad,$FO73+1,_xlpm.typ,INDEX($E$20:$E$68,_xlpm.rad),_xlpm.kod,INDEX(O$19:O$68,_xlpm.rad),_xlpm.del,INDEX($F$19:$F$68,_xlpm.rad),IFERROR(IF(AND(_xlpm.typ="H",_xlpm.kod&lt;&gt;"",_xlpm.del&lt;&gt;"Hybrid - Thrust + 2 connections"),INDEX(Hyb_Tech,MATCH(_xlpm.kod,Hyb_Code,0)),FW$72),FW$72))</f>
        <v>6</v>
      </c>
      <c r="FX74" s="88" cm="1">
        <f t="array" ref="FX74">_xlfn.LET(_xlpm.rad,$FO73+1,_xlpm.typ,INDEX($E$20:$E$68,_xlpm.rad),_xlpm.kod,INDEX(P$19:P$68,_xlpm.rad),_xlpm.del,INDEX($F$19:$F$68,_xlpm.rad),IFERROR(IF(AND(_xlpm.typ="H",_xlpm.kod&lt;&gt;"",_xlpm.del&lt;&gt;"Hybrid - Thrust + 2 connections"),INDEX(Hyb_Tech,MATCH(_xlpm.kod,Hyb_Code,0)),FX$72),FX$72))</f>
        <v>7</v>
      </c>
      <c r="FY74" s="88" cm="1">
        <f t="array" ref="FY74">_xlfn.LET(_xlpm.rad,$FO73+1,_xlpm.typ,INDEX($E$20:$E$68,_xlpm.rad),_xlpm.kod,INDEX(Q$19:Q$68,_xlpm.rad),_xlpm.del,INDEX($F$19:$F$68,_xlpm.rad),IFERROR(IF(AND(_xlpm.typ="H",_xlpm.kod&lt;&gt;"",_xlpm.del&lt;&gt;"Hybrid - Thrust + 2 connections"),INDEX(Hyb_Tech,MATCH(_xlpm.kod,Hyb_Code,0)),FY$72),FY$72))</f>
        <v>8</v>
      </c>
      <c r="FZ74" s="88" cm="1">
        <f t="array" ref="FZ74">_xlfn.LET(_xlpm.rad,$FO73+1,_xlpm.typ,INDEX($E$20:$E$68,_xlpm.rad),_xlpm.kod,INDEX(R$19:R$68,_xlpm.rad),_xlpm.del,INDEX($F$19:$F$68,_xlpm.rad),IFERROR(IF(AND(_xlpm.typ="H",_xlpm.kod&lt;&gt;"",_xlpm.del&lt;&gt;"Hybrid - Thrust + 2 connections"),INDEX(Hyb_Tech,MATCH(_xlpm.kod,Hyb_Code,0)),FZ$72),FZ$72))</f>
        <v>9</v>
      </c>
      <c r="GA74" s="88" cm="1">
        <f t="array" ref="GA74">_xlfn.LET(_xlpm.rad,$FO73+1,_xlpm.typ,INDEX($E$20:$E$68,_xlpm.rad),_xlpm.kod,INDEX(S$19:S$68,_xlpm.rad),_xlpm.del,INDEX($F$19:$F$68,_xlpm.rad),IFERROR(IF(AND(_xlpm.typ="H",_xlpm.kod&lt;&gt;"",_xlpm.del&lt;&gt;"Hybrid - Thrust + 2 connections"),INDEX(Hyb_Tech,MATCH(_xlpm.kod,Hyb_Code,0)),GA$72),GA$72))</f>
        <v>10</v>
      </c>
      <c r="GB74" s="88" cm="1">
        <f t="array" ref="GB74">_xlfn.LET(_xlpm.rad,$FO73+1,_xlpm.typ,INDEX($E$20:$E$68,_xlpm.rad),_xlpm.kod,INDEX(T$19:T$68,_xlpm.rad),_xlpm.del,INDEX($F$19:$F$68,_xlpm.rad),IFERROR(IF(AND(_xlpm.typ="H",_xlpm.kod&lt;&gt;"",_xlpm.del&lt;&gt;"Hybrid - Thrust + 2 connections"),INDEX(Hyb_Tech,MATCH(_xlpm.kod,Hyb_Code,0)),GB$72),GB$72))</f>
        <v>11</v>
      </c>
      <c r="GC74" s="88" cm="1">
        <f t="array" ref="GC74">_xlfn.LET(_xlpm.rad,$FO73+1,_xlpm.typ,INDEX($E$20:$E$68,_xlpm.rad),_xlpm.kod,INDEX(U$19:U$68,_xlpm.rad),_xlpm.del,INDEX($F$19:$F$68,_xlpm.rad),IFERROR(IF(AND(_xlpm.typ="H",_xlpm.kod&lt;&gt;"",_xlpm.del&lt;&gt;"Hybrid - Thrust + 2 connections"),INDEX(Hyb_Tech,MATCH(_xlpm.kod,Hyb_Code,0)),GC$72),GC$72))</f>
        <v>12</v>
      </c>
      <c r="GD74" s="88" cm="1">
        <f t="array" ref="GD74">_xlfn.LET(_xlpm.rad,$FO73+1,_xlpm.typ,INDEX($E$20:$E$68,_xlpm.rad),_xlpm.kod,INDEX(V$19:V$68,_xlpm.rad),_xlpm.del,INDEX($F$19:$F$68,_xlpm.rad),IFERROR(IF(AND(_xlpm.typ="H",_xlpm.kod&lt;&gt;"",_xlpm.del&lt;&gt;"Hybrid - Thrust + 2 connections"),INDEX(Hyb_Tech,MATCH(_xlpm.kod,Hyb_Code,0)),GD$72),GD$72))</f>
        <v>13</v>
      </c>
      <c r="GE74" s="88" cm="1">
        <f t="array" ref="GE74">_xlfn.LET(_xlpm.rad,$FO73+1,_xlpm.typ,INDEX($E$20:$E$68,_xlpm.rad),_xlpm.kod,INDEX(W$19:W$68,_xlpm.rad),_xlpm.del,INDEX($F$19:$F$68,_xlpm.rad),IFERROR(IF(AND(_xlpm.typ="H",_xlpm.kod&lt;&gt;"",_xlpm.del&lt;&gt;"Hybrid - Thrust + 2 connections"),INDEX(Hyb_Tech,MATCH(_xlpm.kod,Hyb_Code,0)),GE$72),GE$72))</f>
        <v>14</v>
      </c>
      <c r="GF74" s="88" cm="1">
        <f t="array" ref="GF74">_xlfn.LET(_xlpm.rad,$FO73+1,_xlpm.typ,INDEX($E$20:$E$68,_xlpm.rad),_xlpm.kod,INDEX(X$19:X$68,_xlpm.rad),_xlpm.del,INDEX($F$19:$F$68,_xlpm.rad),IFERROR(IF(AND(_xlpm.typ="H",_xlpm.kod&lt;&gt;"",_xlpm.del&lt;&gt;"Hybrid - Thrust + 2 connections"),INDEX(Hyb_Tech,MATCH(_xlpm.kod,Hyb_Code,0)),GF$72),GF$72))</f>
        <v>15</v>
      </c>
      <c r="GG74" s="88" cm="1">
        <f t="array" ref="GG74">_xlfn.LET(_xlpm.rad,$FO73+1,_xlpm.typ,INDEX($E$20:$E$68,_xlpm.rad),_xlpm.kod,INDEX(Y$19:Y$68,_xlpm.rad),_xlpm.del,INDEX($F$19:$F$68,_xlpm.rad),IFERROR(IF(AND(_xlpm.typ="H",_xlpm.kod&lt;&gt;"",_xlpm.del&lt;&gt;"Hybrid - Thrust + 2 connections"),INDEX(Hyb_Tech,MATCH(_xlpm.kod,Hyb_Code,0)),GG$72),GG$72))</f>
        <v>16</v>
      </c>
      <c r="GH74" s="88" cm="1">
        <f t="array" ref="GH74">_xlfn.LET(_xlpm.rad,$FO73+1,_xlpm.typ,INDEX($E$20:$E$68,_xlpm.rad),_xlpm.kod,INDEX(Z$19:Z$68,_xlpm.rad),_xlpm.del,INDEX($F$19:$F$68,_xlpm.rad),IFERROR(IF(AND(_xlpm.typ="H",_xlpm.kod&lt;&gt;"",_xlpm.del&lt;&gt;"Hybrid - Thrust + 2 connections"),INDEX(Hyb_Tech,MATCH(_xlpm.kod,Hyb_Code,0)),GH$72),GH$72))</f>
        <v>17</v>
      </c>
      <c r="GI74" s="88" cm="1">
        <f t="array" ref="GI74">_xlfn.LET(_xlpm.rad,$FO73+1,_xlpm.typ,INDEX($E$20:$E$68,_xlpm.rad),_xlpm.kod,INDEX(AA$19:AA$68,_xlpm.rad),_xlpm.del,INDEX($F$19:$F$68,_xlpm.rad),IFERROR(IF(AND(_xlpm.typ="H",_xlpm.kod&lt;&gt;"",_xlpm.del&lt;&gt;"Hybrid - Thrust + 2 connections"),INDEX(Hyb_Tech,MATCH(_xlpm.kod,Hyb_Code,0)),GI$72),GI$72))</f>
        <v>18</v>
      </c>
      <c r="GJ74" s="88" cm="1">
        <f t="array" ref="GJ74">_xlfn.LET(_xlpm.rad,$FO73+1,_xlpm.typ,INDEX($E$20:$E$68,_xlpm.rad),_xlpm.kod,INDEX(AB$19:AB$68,_xlpm.rad),_xlpm.del,INDEX($F$19:$F$68,_xlpm.rad),IFERROR(IF(AND(_xlpm.typ="H",_xlpm.kod&lt;&gt;"",_xlpm.del&lt;&gt;"Hybrid - Thrust + 2 connections"),INDEX(Hyb_Tech,MATCH(_xlpm.kod,Hyb_Code,0)),GJ$72),GJ$72))</f>
        <v>19</v>
      </c>
      <c r="GK74" s="88" cm="1">
        <f t="array" ref="GK74">_xlfn.LET(_xlpm.rad,$FO73+1,_xlpm.typ,INDEX($E$20:$E$68,_xlpm.rad),_xlpm.kod,INDEX(AC$19:AC$68,_xlpm.rad),_xlpm.del,INDEX($F$19:$F$68,_xlpm.rad),IFERROR(IF(AND(_xlpm.typ="H",_xlpm.kod&lt;&gt;"",_xlpm.del&lt;&gt;"Hybrid - Thrust + 2 connections"),INDEX(Hyb_Tech,MATCH(_xlpm.kod,Hyb_Code,0)),GK$72),GK$72))</f>
        <v>20</v>
      </c>
      <c r="GL74" s="88" cm="1">
        <f t="array" ref="GL74">_xlfn.LET(_xlpm.rad,$FO73+1,_xlpm.typ,INDEX($E$20:$E$68,_xlpm.rad),_xlpm.kod,INDEX(AD$19:AD$68,_xlpm.rad),_xlpm.del,INDEX($F$19:$F$68,_xlpm.rad),IFERROR(IF(AND(_xlpm.typ="H",_xlpm.kod&lt;&gt;"",_xlpm.del&lt;&gt;"Hybrid - Thrust + 2 connections"),INDEX(Hyb_Tech,MATCH(_xlpm.kod,Hyb_Code,0)),GL$72),GL$72))</f>
        <v>21</v>
      </c>
      <c r="GM74" s="88" cm="1">
        <f t="array" ref="GM74">_xlfn.LET(_xlpm.rad,$FO73+1,_xlpm.typ,INDEX($E$20:$E$68,_xlpm.rad),_xlpm.kod,INDEX(AE$19:AE$68,_xlpm.rad),_xlpm.del,INDEX($F$19:$F$68,_xlpm.rad),IFERROR(IF(AND(_xlpm.typ="H",_xlpm.kod&lt;&gt;"",_xlpm.del&lt;&gt;"Hybrid - Thrust + 2 connections"),INDEX(Hyb_Tech,MATCH(_xlpm.kod,Hyb_Code,0)),GM$72),GM$72))</f>
        <v>22</v>
      </c>
      <c r="GN74" s="88" cm="1">
        <f t="array" ref="GN74">_xlfn.LET(_xlpm.rad,$FO73+1,_xlpm.typ,INDEX($E$20:$E$68,_xlpm.rad),_xlpm.kod,INDEX(AF$19:AF$68,_xlpm.rad),_xlpm.del,INDEX($F$19:$F$68,_xlpm.rad),IFERROR(IF(AND(_xlpm.typ="H",_xlpm.kod&lt;&gt;"",_xlpm.del&lt;&gt;"Hybrid - Thrust + 2 connections"),INDEX(Hyb_Tech,MATCH(_xlpm.kod,Hyb_Code,0)),GN$72),GN$72))</f>
        <v>23</v>
      </c>
      <c r="GO74" s="88" cm="1">
        <f t="array" ref="GO74">_xlfn.LET(_xlpm.rad,$FO73+1,_xlpm.typ,INDEX($E$20:$E$68,_xlpm.rad),_xlpm.kod,INDEX(AG$19:AG$68,_xlpm.rad),_xlpm.del,INDEX($F$19:$F$68,_xlpm.rad),IFERROR(IF(AND(_xlpm.typ="H",_xlpm.kod&lt;&gt;"",_xlpm.del&lt;&gt;"Hybrid - Thrust + 2 connections"),INDEX(Hyb_Tech,MATCH(_xlpm.kod,Hyb_Code,0)),GO$72),GO$72))</f>
        <v>24</v>
      </c>
      <c r="GP74" s="88" cm="1">
        <f t="array" ref="GP74">_xlfn.LET(_xlpm.rad,$FO73+1,_xlpm.typ,INDEX($E$20:$E$68,_xlpm.rad),_xlpm.kod,INDEX(AH$19:AH$68,_xlpm.rad),_xlpm.del,INDEX($F$19:$F$68,_xlpm.rad),IFERROR(IF(AND(_xlpm.typ="H",_xlpm.kod&lt;&gt;"",_xlpm.del&lt;&gt;"Hybrid - Thrust + 2 connections"),INDEX(Hyb_Tech,MATCH(_xlpm.kod,Hyb_Code,0)),GP$72),GP$72))</f>
        <v>25</v>
      </c>
      <c r="GQ74" s="88" cm="1">
        <f t="array" ref="GQ74">_xlfn.LET(_xlpm.rad,$FO73+1,_xlpm.typ,INDEX($E$20:$E$68,_xlpm.rad),_xlpm.kod,INDEX(AI$19:AI$68,_xlpm.rad),_xlpm.del,INDEX($F$19:$F$68,_xlpm.rad),IFERROR(IF(AND(_xlpm.typ="H",_xlpm.kod&lt;&gt;"",_xlpm.del&lt;&gt;"Hybrid - Thrust + 2 connections"),INDEX(Hyb_Tech,MATCH(_xlpm.kod,Hyb_Code,0)),GQ$72),GQ$72))</f>
        <v>26</v>
      </c>
      <c r="GR74" s="88" cm="1">
        <f t="array" ref="GR74">_xlfn.LET(_xlpm.rad,$FO73+1,_xlpm.typ,INDEX($E$20:$E$68,_xlpm.rad),_xlpm.kod,INDEX(AJ$19:AJ$68,_xlpm.rad),_xlpm.del,INDEX($F$19:$F$68,_xlpm.rad),IFERROR(IF(AND(_xlpm.typ="H",_xlpm.kod&lt;&gt;"",_xlpm.del&lt;&gt;"Hybrid - Thrust + 2 connections"),INDEX(Hyb_Tech,MATCH(_xlpm.kod,Hyb_Code,0)),GR$72),GR$72))</f>
        <v>27</v>
      </c>
      <c r="GS74" s="88" cm="1">
        <f t="array" ref="GS74">_xlfn.LET(_xlpm.rad,$FO73+1,_xlpm.typ,INDEX($E$20:$E$68,_xlpm.rad),_xlpm.kod,INDEX(AK$19:AK$68,_xlpm.rad),_xlpm.del,INDEX($F$19:$F$68,_xlpm.rad),IFERROR(IF(AND(_xlpm.typ="H",_xlpm.kod&lt;&gt;"",_xlpm.del&lt;&gt;"Hybrid - Thrust + 2 connections"),INDEX(Hyb_Tech,MATCH(_xlpm.kod,Hyb_Code,0)),GS$72),GS$72))</f>
        <v>28</v>
      </c>
      <c r="GT74" s="88" cm="1">
        <f t="array" ref="GT74">_xlfn.LET(_xlpm.rad,$FO73+1,_xlpm.typ,INDEX($E$20:$E$68,_xlpm.rad),_xlpm.kod,INDEX(AL$19:AL$68,_xlpm.rad),_xlpm.del,INDEX($F$19:$F$68,_xlpm.rad),IFERROR(IF(AND(_xlpm.typ="H",_xlpm.kod&lt;&gt;"",_xlpm.del&lt;&gt;"Hybrid - Thrust + 2 connections"),INDEX(Hyb_Tech,MATCH(_xlpm.kod,Hyb_Code,0)),GT$72),GT$72))</f>
        <v>29</v>
      </c>
      <c r="GU74" s="88" cm="1">
        <f t="array" ref="GU74">_xlfn.LET(_xlpm.rad,$FO73+1,_xlpm.typ,INDEX($E$20:$E$68,_xlpm.rad),_xlpm.kod,INDEX(AM$19:AM$68,_xlpm.rad),_xlpm.del,INDEX($F$19:$F$68,_xlpm.rad),IFERROR(IF(AND(_xlpm.typ="H",_xlpm.kod&lt;&gt;"",_xlpm.del&lt;&gt;"Hybrid - Thrust + 2 connections"),INDEX(Hyb_Tech,MATCH(_xlpm.kod,Hyb_Code,0)),GU$72),GU$72))</f>
        <v>30</v>
      </c>
    </row>
    <row r="75" spans="1:231" ht="12.75" customHeight="1" x14ac:dyDescent="0.35">
      <c r="A75" s="29"/>
      <c r="B75" s="29"/>
      <c r="C75" s="29"/>
      <c r="D75" s="29"/>
      <c r="E75" s="29"/>
      <c r="G75" s="12"/>
      <c r="AL75" s="12"/>
      <c r="AM75" s="12"/>
      <c r="AN75" s="12"/>
      <c r="AO75" s="12"/>
      <c r="AP75" s="12"/>
      <c r="AQ75" s="64"/>
      <c r="AR75" s="64"/>
      <c r="AS75" s="64"/>
      <c r="AT75" s="64"/>
      <c r="AU75" s="64"/>
      <c r="AV75" s="64"/>
      <c r="AW75" s="236"/>
      <c r="AX75" s="236"/>
      <c r="AY75" s="64"/>
      <c r="AZ75" s="64"/>
      <c r="BA75" s="64"/>
      <c r="BB75" s="64"/>
      <c r="BC75" s="64"/>
      <c r="BD75" s="64"/>
      <c r="BE75" s="64"/>
      <c r="BF75" s="64"/>
      <c r="BG75" s="64"/>
      <c r="BH75" s="64"/>
      <c r="BI75" s="64"/>
      <c r="BJ75" s="64"/>
      <c r="BK75" s="64"/>
      <c r="BL75" s="64"/>
      <c r="BM75" s="64"/>
      <c r="BN75" s="64"/>
      <c r="CB75" s="88"/>
      <c r="CC75" s="88"/>
      <c r="CD75" s="88"/>
      <c r="CE75" s="88"/>
      <c r="CF75" s="88"/>
      <c r="CG75" s="88"/>
      <c r="CH75" s="88"/>
      <c r="CI75" s="88"/>
      <c r="CJ75" s="88"/>
      <c r="CK75" s="88"/>
      <c r="CL75" s="88"/>
      <c r="CM75" s="88"/>
      <c r="EG75" s="88">
        <f t="shared" ref="EG75" si="2729">COUNTIF(EK75:FN75,0.3)</f>
        <v>0</v>
      </c>
      <c r="EH75" s="88">
        <f t="shared" ref="EH75" si="2730">COUNTIF(EK75:FN75,0.5)</f>
        <v>0</v>
      </c>
      <c r="EI75" s="88" t="str">
        <f t="shared" ref="EI75" si="2731">IF(AND(T7="",OR(EG75&gt;5,EH75&gt;5)),"X",IF(SUM(EK75:FN75)&gt;5,"X",""))</f>
        <v/>
      </c>
      <c r="EK75" s="88" t="str">
        <f t="shared" ref="EK75" si="2732">IF($T$5="",IF(RIGHT(J21,4)="*0,5",0.5,IF(RIGHT(J21,4)="*0,3",0.3,IF(EK22&lt;&gt;"",1,""))),IF(EK22&lt;&gt;"",IF(OR(RIGHT(J21,4)="*0,5",RIGHT(J21,4)="*0,3"),0.5,1),""))</f>
        <v/>
      </c>
      <c r="EL75" s="88" t="str">
        <f t="shared" ref="EL75" si="2733">IF($T$5="",IF(RIGHT(K21,4)="*0,5",0.5,IF(RIGHT(K21,4)="*0,3",0.3,IF(EL22&lt;&gt;"",1,""))),IF(EL22&lt;&gt;"",IF(OR(RIGHT(K21,4)="*0,5",RIGHT(K21,4)="*0,3"),0.5,1),""))</f>
        <v/>
      </c>
      <c r="EM75" s="88" t="str">
        <f t="shared" ref="EM75" si="2734">IF($T$5="",IF(RIGHT(L21,4)="*0,5",0.5,IF(RIGHT(L21,4)="*0,3",0.3,IF(EM22&lt;&gt;"",1,""))),IF(EM22&lt;&gt;"",IF(OR(RIGHT(L21,4)="*0,5",RIGHT(L21,4)="*0,3"),0.5,1),""))</f>
        <v/>
      </c>
      <c r="EN75" s="88" t="str">
        <f t="shared" ref="EN75" si="2735">IF($T$5="",IF(RIGHT(M21,4)="*0,5",0.5,IF(RIGHT(M21,4)="*0,3",0.3,IF(EN22&lt;&gt;"",1,""))),IF(EN22&lt;&gt;"",IF(OR(RIGHT(M21,4)="*0,5",RIGHT(M21,4)="*0,3"),0.5,1),""))</f>
        <v/>
      </c>
      <c r="EO75" s="88" t="str">
        <f t="shared" ref="EO75" si="2736">IF($T$5="",IF(RIGHT(N21,4)="*0,5",0.5,IF(RIGHT(N21,4)="*0,3",0.3,IF(EO22&lt;&gt;"",1,""))),IF(EO22&lt;&gt;"",IF(OR(RIGHT(N21,4)="*0,5",RIGHT(N21,4)="*0,3"),0.5,1),""))</f>
        <v/>
      </c>
      <c r="EP75" s="88" t="str">
        <f t="shared" ref="EP75" si="2737">IF($T$5="",IF(RIGHT(O21,4)="*0,5",0.5,IF(RIGHT(O21,4)="*0,3",0.3,IF(EP22&lt;&gt;"",1,""))),IF(EP22&lt;&gt;"",IF(OR(RIGHT(O21,4)="*0,5",RIGHT(O21,4)="*0,3"),0.5,1),""))</f>
        <v/>
      </c>
      <c r="EQ75" s="88" t="str">
        <f t="shared" ref="EQ75" si="2738">IF($T$5="",IF(RIGHT(P21,4)="*0,5",0.5,IF(RIGHT(P21,4)="*0,3",0.3,IF(EQ22&lt;&gt;"",1,""))),IF(EQ22&lt;&gt;"",IF(OR(RIGHT(P21,4)="*0,5",RIGHT(P21,4)="*0,3"),0.5,1),""))</f>
        <v/>
      </c>
      <c r="ER75" s="88" t="str">
        <f t="shared" ref="ER75" si="2739">IF($T$5="",IF(RIGHT(Q21,4)="*0,5",0.5,IF(RIGHT(Q21,4)="*0,3",0.3,IF(ER22&lt;&gt;"",1,""))),IF(ER22&lt;&gt;"",IF(OR(RIGHT(Q21,4)="*0,5",RIGHT(Q21,4)="*0,3"),0.5,1),""))</f>
        <v/>
      </c>
      <c r="ES75" s="88" t="str">
        <f t="shared" ref="ES75" si="2740">IF($T$5="",IF(RIGHT(R21,4)="*0,5",0.5,IF(RIGHT(R21,4)="*0,3",0.3,IF(ES22&lt;&gt;"",1,""))),IF(ES22&lt;&gt;"",IF(OR(RIGHT(R21,4)="*0,5",RIGHT(R21,4)="*0,3"),0.5,1),""))</f>
        <v/>
      </c>
      <c r="ET75" s="88" t="str">
        <f t="shared" ref="ET75" si="2741">IF($T$5="",IF(RIGHT(S21,4)="*0,5",0.5,IF(RIGHT(S21,4)="*0,3",0.3,IF(ET22&lt;&gt;"",1,""))),IF(ET22&lt;&gt;"",IF(OR(RIGHT(S21,4)="*0,5",RIGHT(S21,4)="*0,3"),0.5,1),""))</f>
        <v/>
      </c>
      <c r="EU75" s="88" t="str">
        <f t="shared" ref="EU75" si="2742">IF($T$5="",IF(RIGHT(T21,4)="*0,5",0.5,IF(RIGHT(T21,4)="*0,3",0.3,IF(EU22&lt;&gt;"",1,""))),IF(EU22&lt;&gt;"",IF(OR(RIGHT(T21,4)="*0,5",RIGHT(T21,4)="*0,3"),0.5,1),""))</f>
        <v/>
      </c>
      <c r="EV75" s="88" t="str">
        <f t="shared" ref="EV75" si="2743">IF($T$5="",IF(RIGHT(U21,4)="*0,5",0.5,IF(RIGHT(U21,4)="*0,3",0.3,IF(EV22&lt;&gt;"",1,""))),IF(EV22&lt;&gt;"",IF(OR(RIGHT(U21,4)="*0,5",RIGHT(U21,4)="*0,3"),0.5,1),""))</f>
        <v/>
      </c>
      <c r="EW75" s="88" t="str">
        <f t="shared" ref="EW75" si="2744">IF($T$5="",IF(RIGHT(V21,4)="*0,5",0.5,IF(RIGHT(V21,4)="*0,3",0.3,IF(EW22&lt;&gt;"",1,""))),IF(EW22&lt;&gt;"",IF(OR(RIGHT(V21,4)="*0,5",RIGHT(V21,4)="*0,3"),0.5,1),""))</f>
        <v/>
      </c>
      <c r="EX75" s="88" t="str">
        <f t="shared" ref="EX75" si="2745">IF($T$5="",IF(RIGHT(W21,4)="*0,5",0.5,IF(RIGHT(W21,4)="*0,3",0.3,IF(EX22&lt;&gt;"",1,""))),IF(EX22&lt;&gt;"",IF(OR(RIGHT(W21,4)="*0,5",RIGHT(W21,4)="*0,3"),0.5,1),""))</f>
        <v/>
      </c>
      <c r="EY75" s="88" t="str">
        <f t="shared" ref="EY75" si="2746">IF($T$5="",IF(RIGHT(X21,4)="*0,5",0.5,IF(RIGHT(X21,4)="*0,3",0.3,IF(EY22&lt;&gt;"",1,""))),IF(EY22&lt;&gt;"",IF(OR(RIGHT(X21,4)="*0,5",RIGHT(X21,4)="*0,3"),0.5,1),""))</f>
        <v/>
      </c>
      <c r="EZ75" s="88" t="str">
        <f t="shared" ref="EZ75" si="2747">IF($T$5="",IF(RIGHT(Y21,4)="*0,5",0.5,IF(RIGHT(Y21,4)="*0,3",0.3,IF(EZ22&lt;&gt;"",1,""))),IF(EZ22&lt;&gt;"",IF(OR(RIGHT(Y21,4)="*0,5",RIGHT(Y21,4)="*0,3"),0.5,1),""))</f>
        <v/>
      </c>
      <c r="FA75" s="88" t="str">
        <f t="shared" ref="FA75" si="2748">IF($T$5="",IF(RIGHT(Z21,4)="*0,5",0.5,IF(RIGHT(Z21,4)="*0,3",0.3,IF(FA22&lt;&gt;"",1,""))),IF(FA22&lt;&gt;"",IF(OR(RIGHT(Z21,4)="*0,5",RIGHT(Z21,4)="*0,3"),0.5,1),""))</f>
        <v/>
      </c>
      <c r="FB75" s="88" t="str">
        <f t="shared" ref="FB75" si="2749">IF($T$5="",IF(RIGHT(AA21,4)="*0,5",0.5,IF(RIGHT(AA21,4)="*0,3",0.3,IF(FB22&lt;&gt;"",1,""))),IF(FB22&lt;&gt;"",IF(OR(RIGHT(AA21,4)="*0,5",RIGHT(AA21,4)="*0,3"),0.5,1),""))</f>
        <v/>
      </c>
      <c r="FC75" s="88" t="str">
        <f t="shared" ref="FC75" si="2750">IF($T$5="",IF(RIGHT(AB21,4)="*0,5",0.5,IF(RIGHT(AB21,4)="*0,3",0.3,IF(FC22&lt;&gt;"",1,""))),IF(FC22&lt;&gt;"",IF(OR(RIGHT(AB21,4)="*0,5",RIGHT(AB21,4)="*0,3"),0.5,1),""))</f>
        <v/>
      </c>
      <c r="FD75" s="88" t="str">
        <f t="shared" ref="FD75" si="2751">IF($T$5="",IF(RIGHT(AC21,4)="*0,5",0.5,IF(RIGHT(AC21,4)="*0,3",0.3,IF(FD22&lt;&gt;"",1,""))),IF(FD22&lt;&gt;"",IF(OR(RIGHT(AC21,4)="*0,5",RIGHT(AC21,4)="*0,3"),0.5,1),""))</f>
        <v/>
      </c>
      <c r="FE75" s="88" t="str">
        <f t="shared" ref="FE75" si="2752">IF($T$5="",IF(RIGHT(AD21,4)="*0,5",0.5,IF(RIGHT(AD21,4)="*0,3",0.3,IF(FE22&lt;&gt;"",1,""))),IF(FE22&lt;&gt;"",IF(OR(RIGHT(AD21,4)="*0,5",RIGHT(AD21,4)="*0,3"),0.5,1),""))</f>
        <v/>
      </c>
      <c r="FF75" s="88" t="str">
        <f t="shared" ref="FF75" si="2753">IF($T$5="",IF(RIGHT(AE21,4)="*0,5",0.5,IF(RIGHT(AE21,4)="*0,3",0.3,IF(FF22&lt;&gt;"",1,""))),IF(FF22&lt;&gt;"",IF(OR(RIGHT(AE21,4)="*0,5",RIGHT(AE21,4)="*0,3"),0.5,1),""))</f>
        <v/>
      </c>
      <c r="FG75" s="88" t="str">
        <f t="shared" ref="FG75" si="2754">IF($T$5="",IF(RIGHT(AF21,4)="*0,5",0.5,IF(RIGHT(AF21,4)="*0,3",0.3,IF(FG22&lt;&gt;"",1,""))),IF(FG22&lt;&gt;"",IF(OR(RIGHT(AF21,4)="*0,5",RIGHT(AF21,4)="*0,3"),0.5,1),""))</f>
        <v/>
      </c>
      <c r="FH75" s="88" t="str">
        <f t="shared" ref="FH75" si="2755">IF($T$5="",IF(RIGHT(AG21,4)="*0,5",0.5,IF(RIGHT(AG21,4)="*0,3",0.3,IF(FH22&lt;&gt;"",1,""))),IF(FH22&lt;&gt;"",IF(OR(RIGHT(AG21,4)="*0,5",RIGHT(AG21,4)="*0,3"),0.5,1),""))</f>
        <v/>
      </c>
      <c r="FI75" s="88" t="str">
        <f t="shared" ref="FI75" si="2756">IF($T$5="",IF(RIGHT(AH21,4)="*0,5",0.5,IF(RIGHT(AH21,4)="*0,3",0.3,IF(FI22&lt;&gt;"",1,""))),IF(FI22&lt;&gt;"",IF(OR(RIGHT(AH21,4)="*0,5",RIGHT(AH21,4)="*0,3"),0.5,1),""))</f>
        <v/>
      </c>
      <c r="FJ75" s="88" t="str">
        <f t="shared" ref="FJ75" si="2757">IF($T$5="",IF(RIGHT(AI21,4)="*0,5",0.5,IF(RIGHT(AI21,4)="*0,3",0.3,IF(FJ22&lt;&gt;"",1,""))),IF(FJ22&lt;&gt;"",IF(OR(RIGHT(AI21,4)="*0,5",RIGHT(AI21,4)="*0,3"),0.5,1),""))</f>
        <v/>
      </c>
      <c r="FK75" s="88" t="str">
        <f t="shared" ref="FK75" si="2758">IF($T$5="",IF(RIGHT(AJ21,4)="*0,5",0.5,IF(RIGHT(AJ21,4)="*0,3",0.3,IF(FK22&lt;&gt;"",1,""))),IF(FK22&lt;&gt;"",IF(OR(RIGHT(AJ21,4)="*0,5",RIGHT(AJ21,4)="*0,3"),0.5,1),""))</f>
        <v/>
      </c>
      <c r="FL75" s="88" t="str">
        <f t="shared" ref="FL75" si="2759">IF($T$5="",IF(RIGHT(AK21,4)="*0,5",0.5,IF(RIGHT(AK21,4)="*0,3",0.3,IF(FL22&lt;&gt;"",1,""))),IF(FL22&lt;&gt;"",IF(OR(RIGHT(AK21,4)="*0,5",RIGHT(AK21,4)="*0,3"),0.5,1),""))</f>
        <v/>
      </c>
      <c r="FM75" s="88" t="str">
        <f t="shared" ref="FM75" si="2760">IF($T$5="",IF(RIGHT(AL21,4)="*0,5",0.5,IF(RIGHT(AL21,4)="*0,3",0.3,IF(FM22&lt;&gt;"",1,""))),IF(FM22&lt;&gt;"",IF(OR(RIGHT(AL21,4)="*0,5",RIGHT(AL21,4)="*0,3"),0.5,1),""))</f>
        <v/>
      </c>
      <c r="FN75" s="88" t="str">
        <f t="shared" ref="FN75" si="2761">IF($T$5="",IF(RIGHT(AM21,4)="*0,5",0.5,IF(RIGHT(AM21,4)="*0,3",0.3,IF(FN22&lt;&gt;"",1,""))),IF(FN22&lt;&gt;"",IF(OR(RIGHT(AM21,4)="*0,5",RIGHT(AM21,4)="*0,3"),0.5,1),""))</f>
        <v/>
      </c>
      <c r="FP75" s="91" t="str" cm="1">
        <f t="array" ref="FP75">IFERROR(IF($T$5="",IF(COUNTIF(FR75:GU75,1)&gt;$FP$18,INDEX($FR$73:$GU$170,$FO73*5/2+1,MATCH(1,FR75:GU75,0)),""),IF(SUM(FR75:GU75)&gt;2,INDEX($FR$73:$GU$170,$FO73*5/2+1,MATCH(1,FR75:GU75,0)),"")),"")</f>
        <v/>
      </c>
      <c r="FQ75" s="88" t="str" cm="1">
        <f t="array" ref="FQ75">IFERROR(IF(LEFT(FP75,1)="C",IF(RIGHT(FP75,1)="+",LEFT(FP75,LEN(FP75)-1),CONCATENATE(FP75,"+")),IF(SUM($FR75:$GU75)&gt;$FP$18,INDEX($FR$73:$GU$170,$FO73*5/2+1,MATCH(0.5,FR75:GU75,0)),"")),"")</f>
        <v/>
      </c>
      <c r="FR75" s="88" t="str">
        <f t="shared" ref="FR75:GU75" si="2762">IF(AND($BV$6="D",LEFT(FR73,1)="C"),IF(COUNTIF($FR74:$GU74,FR74)&gt;$FP$18,INDEX(Hyb_Tech_Value,MATCH(FR73,Hyb_Code,0)),""),IF(COUNTIF($FR74:$GU74,FR74)&gt;$FP$18,INDEX(Hyb_Tech_Value,MATCH(FR73,Hyb_Code,0)),""))</f>
        <v/>
      </c>
      <c r="FS75" s="88" t="str">
        <f t="shared" si="2762"/>
        <v/>
      </c>
      <c r="FT75" s="88" t="str">
        <f t="shared" si="2762"/>
        <v/>
      </c>
      <c r="FU75" s="88" t="str">
        <f t="shared" si="2762"/>
        <v/>
      </c>
      <c r="FV75" s="88" t="str">
        <f t="shared" si="2762"/>
        <v/>
      </c>
      <c r="FW75" s="88" t="str">
        <f t="shared" si="2762"/>
        <v/>
      </c>
      <c r="FX75" s="88" t="str">
        <f t="shared" si="2762"/>
        <v/>
      </c>
      <c r="FY75" s="88" t="str">
        <f t="shared" si="2762"/>
        <v/>
      </c>
      <c r="FZ75" s="88" t="str">
        <f t="shared" si="2762"/>
        <v/>
      </c>
      <c r="GA75" s="88" t="str">
        <f t="shared" si="2762"/>
        <v/>
      </c>
      <c r="GB75" s="88" t="str">
        <f t="shared" si="2762"/>
        <v/>
      </c>
      <c r="GC75" s="88" t="str">
        <f t="shared" si="2762"/>
        <v/>
      </c>
      <c r="GD75" s="88" t="str">
        <f t="shared" si="2762"/>
        <v/>
      </c>
      <c r="GE75" s="88" t="str">
        <f t="shared" si="2762"/>
        <v/>
      </c>
      <c r="GF75" s="88" t="str">
        <f t="shared" si="2762"/>
        <v/>
      </c>
      <c r="GG75" s="88" t="str">
        <f t="shared" si="2762"/>
        <v/>
      </c>
      <c r="GH75" s="88" t="str">
        <f t="shared" si="2762"/>
        <v/>
      </c>
      <c r="GI75" s="88" t="str">
        <f t="shared" si="2762"/>
        <v/>
      </c>
      <c r="GJ75" s="88" t="str">
        <f t="shared" si="2762"/>
        <v/>
      </c>
      <c r="GK75" s="88" t="str">
        <f t="shared" si="2762"/>
        <v/>
      </c>
      <c r="GL75" s="88" t="str">
        <f t="shared" si="2762"/>
        <v/>
      </c>
      <c r="GM75" s="88" t="str">
        <f t="shared" si="2762"/>
        <v/>
      </c>
      <c r="GN75" s="88" t="str">
        <f t="shared" si="2762"/>
        <v/>
      </c>
      <c r="GO75" s="88" t="str">
        <f t="shared" si="2762"/>
        <v/>
      </c>
      <c r="GP75" s="88" t="str">
        <f t="shared" si="2762"/>
        <v/>
      </c>
      <c r="GQ75" s="88" t="str">
        <f t="shared" si="2762"/>
        <v/>
      </c>
      <c r="GR75" s="88" t="str">
        <f t="shared" si="2762"/>
        <v/>
      </c>
      <c r="GS75" s="88" t="str">
        <f t="shared" si="2762"/>
        <v/>
      </c>
      <c r="GT75" s="88" t="str">
        <f t="shared" si="2762"/>
        <v/>
      </c>
      <c r="GU75" s="88" t="str">
        <f t="shared" si="2762"/>
        <v/>
      </c>
    </row>
    <row r="76" spans="1:231" ht="12.75" customHeight="1" x14ac:dyDescent="0.35">
      <c r="A76" s="29"/>
      <c r="B76" s="29"/>
      <c r="C76" s="29"/>
      <c r="D76" s="29"/>
      <c r="E76" s="20" t="str">
        <f>IF(G76&lt;&gt;"","Copy green area &gt;&gt;&gt;","")</f>
        <v/>
      </c>
      <c r="F76" s="60" t="s">
        <v>578</v>
      </c>
      <c r="G76" s="280" t="str">
        <f>IFERROR(IF($BV$8="T",IF(OR(INDEX($E$20:$E$68,MATCH(H73,$G$19:$G$67,0))="H",INDEX($E$20:$E$68,MATCH(H73,$G$19:$G$67,0))="T"),INDEX($E$20:$E$68,MATCH(H73,$G$19:$G$67,0)),IF(INDEX($E$20:$E$68,MATCH(H73,$G$19:$G$67,0))=3,"T",IF(OR(INDEX($E$20:$E$68,MATCH(H73,$G$19:$G$67,0))="A",INDEX($E$20:$E$68,MATCH(H73,$G$19:$G$67,0))="B",INDEX($E$20:$E$68,MATCH(H73,$G$19:$G$67,0))="C",INDEX($E$20:$E$68,MATCH(H73,$G$19:$G$67,0))="P"),CONCATENATE("A",RIGHT(INDEX($H$20:$H$68,MATCH(H73,$G$19:$G$67,0)),1)),IF(INDEX($E$20:$E$68,MATCH(H73,$G$19:$G$67,0))="PA",IF(MID(INDEX($H$20:$H$68,MATCH(H73,$G$19:$G$67,0)),8,1)="W","AT",CONCATENATE("A",MID(INDEX($H$20:$H$68,MATCH(H73,$G$19:$G$67,0)),8,1))),"")))),""),"")</f>
        <v/>
      </c>
      <c r="H76" s="280" t="str">
        <f>IFERROR(IF($BV$8="T",IF(G76="T",INDEX($J$19:$J$67,MATCH(H73,$G$19:$G$67,0)),""),""),"")</f>
        <v/>
      </c>
      <c r="I76" s="284" t="str">
        <f>IFERROR(IF($BV$8="T",IF(OR(G76="H",LEFT(G76,1)="A"),IF($BV$6="D",IF(G76="H",0.5,0.1),0.5),""),""),"")</f>
        <v/>
      </c>
      <c r="J76" s="281" t="str">
        <f>IFERROR(IF($BV$8="T",INDEX($AO$20:$AO$68,MATCH(H73,$G$19:$G$67,0)),""),"")</f>
        <v/>
      </c>
      <c r="K76" s="280" t="str">
        <f>IFERROR(IF($BV$8="T",IF(OR(INDEX($E$20:$E$68,MATCH(L73,$G$19:$G$67,0))="H",INDEX($E$20:$E$68,MATCH(L73,$G$19:$G$67,0))="T"),INDEX($E$20:$E$68,MATCH(L73,$G$19:$G$67,0)),IF(INDEX($E$20:$E$68,MATCH(L73,$G$19:$G$67,0))=3,"T",IF(OR(INDEX($E$20:$E$68,MATCH(L73,$G$19:$G$67,0))="A",INDEX($E$20:$E$68,MATCH(L73,$G$19:$G$67,0))="B",INDEX($E$20:$E$68,MATCH(L73,$G$19:$G$67,0))="C",INDEX($E$20:$E$68,MATCH(L73,$G$19:$G$67,0))="P"),CONCATENATE("A",RIGHT(INDEX($H$20:$H$68,MATCH(L73,$G$19:$G$67,0)),1)),IF(INDEX($E$20:$E$68,MATCH(L73,$G$19:$G$67,0))="PA",IF(MID(INDEX($H$20:$H$68,MATCH(L73,$G$19:$G$67,0)),8,1)="W","AT",CONCATENATE("A",MID(INDEX($H$20:$H$68,MATCH(L73,$G$19:$G$67,0)),8,1))),"")))),""),"")</f>
        <v/>
      </c>
      <c r="L76" s="280" t="str">
        <f>IFERROR(IF($BV$8="T",IF(K76="T",INDEX($J$19:$J$67,MATCH(L73,$G$19:$G$67,0)),""),""),"")</f>
        <v/>
      </c>
      <c r="M76" s="284" t="str">
        <f>IFERROR(IF($BV$8="T",IF(OR(K76="H",LEFT(K76,1)="A"),IF($BV$6="D",IF(K76="H",0.5,0.1),0.5),""),""),"")</f>
        <v/>
      </c>
      <c r="N76" s="281" t="str">
        <f>IFERROR(IF($BV$8="T",INDEX($AO$20:$AO$68,MATCH(L73,$G$19:$G$67,0)),""),"")</f>
        <v/>
      </c>
      <c r="O76" s="280" t="str">
        <f>IFERROR(IF($BV$8="T",IF(OR(INDEX($E$20:$E$68,MATCH(P73,$G$19:$G$67,0))="H",INDEX($E$20:$E$68,MATCH(P73,$G$19:$G$67,0))="T"),INDEX($E$20:$E$68,MATCH(P73,$G$19:$G$67,0)),IF(INDEX($E$20:$E$68,MATCH(P73,$G$19:$G$67,0))=3,"T",IF(OR(INDEX($E$20:$E$68,MATCH(P73,$G$19:$G$67,0))="A",INDEX($E$20:$E$68,MATCH(P73,$G$19:$G$67,0))="B",INDEX($E$20:$E$68,MATCH(P73,$G$19:$G$67,0))="C",INDEX($E$20:$E$68,MATCH(P73,$G$19:$G$67,0))="P"),CONCATENATE("A",RIGHT(INDEX($H$20:$H$68,MATCH(P73,$G$19:$G$67,0)),1)),IF(INDEX($E$20:$E$68,MATCH(P73,$G$19:$G$67,0))="PA",IF(MID(INDEX($H$20:$H$68,MATCH(P73,$G$19:$G$67,0)),8,1)="W","AT",CONCATENATE("A",MID(INDEX($H$20:$H$68,MATCH(P73,$G$19:$G$67,0)),8,1))),"")))),""),"")</f>
        <v/>
      </c>
      <c r="P76" s="280" t="str">
        <f>IFERROR(IF($BV$8="T",IF(O76="T",INDEX($J$19:$J$67,MATCH(P73,$G$19:$G$67,0)),""),""),"")</f>
        <v/>
      </c>
      <c r="Q76" s="284" t="str">
        <f>IFERROR(IF($BV$8="T",IF(OR(O76="H",LEFT(O76,1)="A"),IF($BV$6="D",IF(O76="H",0.5,0.1),0.5),""),""),"")</f>
        <v/>
      </c>
      <c r="R76" s="281" t="str">
        <f>IFERROR(IF($BV$8="T",INDEX($AO$20:$AO$68,MATCH(P73,$G$19:$G$67,0)),""),"")</f>
        <v/>
      </c>
      <c r="S76" s="280" t="str">
        <f>IFERROR(IF($BV$8="T",IF(OR(INDEX($E$20:$E$68,MATCH(T73,$G$19:$G$67,0))="H",INDEX($E$20:$E$68,MATCH(T73,$G$19:$G$67,0))="T"),INDEX($E$20:$E$68,MATCH(T73,$G$19:$G$67,0)),IF(INDEX($E$20:$E$68,MATCH(T73,$G$19:$G$67,0))=3,"T",IF(OR(INDEX($E$20:$E$68,MATCH(T73,$G$19:$G$67,0))="A",INDEX($E$20:$E$68,MATCH(T73,$G$19:$G$67,0))="B",INDEX($E$20:$E$68,MATCH(T73,$G$19:$G$67,0))="C",INDEX($E$20:$E$68,MATCH(T73,$G$19:$G$67,0))="P"),CONCATENATE("A",RIGHT(INDEX($H$20:$H$68,MATCH(T73,$G$19:$G$67,0)),1)),IF(INDEX($E$20:$E$68,MATCH(T73,$G$19:$G$67,0))="PA",IF(MID(INDEX($H$20:$H$68,MATCH(T73,$G$19:$G$67,0)),8,1)="W","AT",CONCATENATE("A",MID(INDEX($H$20:$H$68,MATCH(T73,$G$19:$G$67,0)),8,1))),"")))),""),"")</f>
        <v/>
      </c>
      <c r="T76" s="280" t="str">
        <f>IFERROR(IF($BV$8="T",IF(S76="T",INDEX($J$19:$J$67,MATCH(T73,$G$19:$G$67,0)),""),""),"")</f>
        <v/>
      </c>
      <c r="U76" s="284" t="str">
        <f>IFERROR(IF($BV$8="T",IF(OR(S76="H",LEFT(S76,1)="A"),IF($BV$6="D",IF(S76="H",0.5,0.1),0.5),""),""),"")</f>
        <v/>
      </c>
      <c r="V76" s="281" t="str">
        <f>IFERROR(IF($BV$8="T",INDEX($AO$20:$AO$68,MATCH(T73,$G$19:$G$67,0)),""),"")</f>
        <v/>
      </c>
      <c r="W76" s="280" t="str">
        <f>IFERROR(IF($BV$8="T",IF(OR(INDEX($E$20:$E$68,MATCH(X73,$G$19:$G$67,0))="H",INDEX($E$20:$E$68,MATCH(X73,$G$19:$G$67,0))="T"),INDEX($E$20:$E$68,MATCH(X73,$G$19:$G$67,0)),IF(INDEX($E$20:$E$68,MATCH(X73,$G$19:$G$67,0))=3,"T",IF(OR(INDEX($E$20:$E$68,MATCH(X73,$G$19:$G$67,0))="A",INDEX($E$20:$E$68,MATCH(X73,$G$19:$G$67,0))="B",INDEX($E$20:$E$68,MATCH(X73,$G$19:$G$67,0))="C",INDEX($E$20:$E$68,MATCH(X73,$G$19:$G$67,0))="P"),CONCATENATE("A",RIGHT(INDEX($H$20:$H$68,MATCH(X73,$G$19:$G$67,0)),1)),IF(INDEX($E$20:$E$68,MATCH(X73,$G$19:$G$67,0))="PA",IF(MID(INDEX($H$20:$H$68,MATCH(X73,$G$19:$G$67,0)),8,1)="W","AT",CONCATENATE("A",MID(INDEX($H$20:$H$68,MATCH(X73,$G$19:$G$67,0)),8,1))),"")))),""),"")</f>
        <v/>
      </c>
      <c r="X76" s="280" t="str">
        <f>IFERROR(IF($BV$8="T",IF(W76="T",INDEX($J$19:$J$67,MATCH(X73,$G$19:$G$67,0)),""),""),"")</f>
        <v/>
      </c>
      <c r="Y76" s="284" t="str">
        <f>IFERROR(IF($BV$8="T",IF(OR(W76="H",LEFT(W76,1)="A"),IF($BV$6="D",IF(W76="H",0.5,0.1),0.5),""),""),"")</f>
        <v/>
      </c>
      <c r="Z76" s="281" t="str">
        <f>IFERROR(IF($BV$8="T",INDEX($AO$20:$AO$68,MATCH(X73,$G$19:$G$67,0)),""),"")</f>
        <v/>
      </c>
      <c r="AA76" s="280" t="str">
        <f>IFERROR(IF($BV$8="T",IF(OR(INDEX($E$20:$E$68,MATCH(AB73,$G$19:$G$67,0))="H",INDEX($E$20:$E$68,MATCH(AB73,$G$19:$G$67,0))="T"),INDEX($E$20:$E$68,MATCH(AB73,$G$19:$G$67,0)),IF(INDEX($E$20:$E$68,MATCH(AB73,$G$19:$G$67,0))=3,"T",IF(OR(INDEX($E$20:$E$68,MATCH(AB73,$G$19:$G$67,0))="A",INDEX($E$20:$E$68,MATCH(AB73,$G$19:$G$67,0))="B",INDEX($E$20:$E$68,MATCH(AB73,$G$19:$G$67,0))="C",INDEX($E$20:$E$68,MATCH(AB73,$G$19:$G$67,0))="P"),CONCATENATE("A",RIGHT(INDEX($H$20:$H$68,MATCH(AB73,$G$19:$G$67,0)),1)),IF(INDEX($E$20:$E$68,MATCH(AB73,$G$19:$G$67,0))="PA",IF(MID(INDEX($H$20:$H$68,MATCH(AB73,$G$19:$G$67,0)),8,1)="W","AT",CONCATENATE("A",MID(INDEX($H$20:$H$68,MATCH(AB73,$G$19:$G$67,0)),8,1))),"")))),""),"")</f>
        <v/>
      </c>
      <c r="AB76" s="280" t="str">
        <f>IFERROR(IF($BV$8="T",IF(AA76="T",INDEX($J$19:$J$67,MATCH(AB73,$G$19:$G$67,0)),""),""),"")</f>
        <v/>
      </c>
      <c r="AC76" s="284" t="str">
        <f>IFERROR(IF($BV$8="T",IF(OR(AA76="H",LEFT(AA76,1)="A"),IF($BV$6="D",IF(AA76="H",0.5,0.1),0.5),""),""),"")</f>
        <v/>
      </c>
      <c r="AD76" s="281" t="str">
        <f>IFERROR(IF($BV$8="T",INDEX($AO$20:$AO$68,MATCH(AB73,$G$19:$G$67,0)),""),"")</f>
        <v/>
      </c>
      <c r="AE76" s="280" t="str">
        <f>IFERROR(IF($BV$8="T",IF(OR(INDEX($E$20:$E$68,MATCH(AF73,$G$19:$G$67,0))="H",INDEX($E$20:$E$68,MATCH(AF73,$G$19:$G$67,0))="T"),INDEX($E$20:$E$68,MATCH(AF73,$G$19:$G$67,0)),IF(INDEX($E$20:$E$68,MATCH(AF73,$G$19:$G$67,0))=3,"T",IF(OR(INDEX($E$20:$E$68,MATCH(AF73,$G$19:$G$67,0))="A",INDEX($E$20:$E$68,MATCH(AF73,$G$19:$G$67,0))="B",INDEX($E$20:$E$68,MATCH(AF73,$G$19:$G$67,0))="C",INDEX($E$20:$E$68,MATCH(AF73,$G$19:$G$67,0))="P"),CONCATENATE("A",RIGHT(INDEX($H$20:$H$68,MATCH(AF73,$G$19:$G$67,0)),1)),IF(INDEX($E$20:$E$68,MATCH(AF73,$G$19:$G$67,0))="PA",IF(MID(INDEX($H$20:$H$68,MATCH(AF73,$G$19:$G$67,0)),8,1)="W","AT",CONCATENATE("A",MID(INDEX($H$20:$H$68,MATCH(AF73,$G$19:$G$67,0)),8,1))),"")))),""),"")</f>
        <v/>
      </c>
      <c r="AF76" s="280" t="str">
        <f>IFERROR(IF($BV$8="T",IF(AE76="T",INDEX($J$19:$J$67,MATCH(AF73,$G$19:$G$67,0)),""),""),"")</f>
        <v/>
      </c>
      <c r="AG76" s="284" t="str">
        <f>IFERROR(IF($BV$8="T",IF(OR(AE76="H",LEFT(AE76,1)="A"),IF($BV$6="D",IF(AE76="H",0.5,0.1),0.5),""),""),"")</f>
        <v/>
      </c>
      <c r="AH76" s="281" t="str">
        <f>IFERROR(IF($BV$8="T",INDEX($AO$20:$AO$68,MATCH(AF73,$G$19:$G$67,0)),""),"")</f>
        <v/>
      </c>
      <c r="AI76" s="280" t="str">
        <f>IFERROR(IF($BV$8="T",IF(OR(INDEX($E$20:$E$68,MATCH(AJ73,$G$19:$G$67,0))="H",INDEX($E$20:$E$68,MATCH(AJ73,$G$19:$G$67,0))="T"),INDEX($E$20:$E$68,MATCH(AJ73,$G$19:$G$67,0)),IF(INDEX($E$20:$E$68,MATCH(AJ73,$G$19:$G$67,0))=3,"T",IF(OR(INDEX($E$20:$E$68,MATCH(AJ73,$G$19:$G$67,0))="A",INDEX($E$20:$E$68,MATCH(AJ73,$G$19:$G$67,0))="B",INDEX($E$20:$E$68,MATCH(AJ73,$G$19:$G$67,0))="C",INDEX($E$20:$E$68,MATCH(AJ73,$G$19:$G$67,0))="P"),CONCATENATE("A",RIGHT(INDEX($H$20:$H$68,MATCH(AJ73,$G$19:$G$67,0)),1)),IF(INDEX($E$20:$E$68,MATCH(AJ73,$G$19:$G$67,0))="PA",IF(MID(INDEX($H$20:$H$68,MATCH(AJ73,$G$19:$G$67,0)),8,1)="W","AT",CONCATENATE("A",MID(INDEX($H$20:$H$68,MATCH(AJ73,$G$19:$G$67,0)),8,1))),"")))),""),"")</f>
        <v/>
      </c>
      <c r="AJ76" s="280" t="str">
        <f>IFERROR(IF($BV$8="T",IF(AI76="T",INDEX($J$19:$J$67,MATCH(AJ73,$G$19:$G$67,0)),""),""),"")</f>
        <v/>
      </c>
      <c r="AK76" s="284" t="str">
        <f>IFERROR(IF($BV$8="T",IF(OR(AI76="H",LEFT(AI76,1)="A"),IF($BV$6="D",IF(AI76="H",0.5,0.1),0.5),""),""),"")</f>
        <v/>
      </c>
      <c r="AL76" s="281" t="str">
        <f>IFERROR(IF($BV$8="T",INDEX($AO$20:$AO$68,MATCH(AJ73,$G$19:$G$67,0)),""),"")</f>
        <v/>
      </c>
      <c r="AM76" s="280" t="str">
        <f>IFERROR(IF($BV$8="T",IF(OR(INDEX($E$20:$E$68,MATCH(AN73,$G$19:$G$67,0))="H",INDEX($E$20:$E$68,MATCH(AN73,$G$19:$G$67,0))="T"),INDEX($E$20:$E$68,MATCH(AN73,$G$19:$G$67,0)),IF(INDEX($E$20:$E$68,MATCH(AN73,$G$19:$G$67,0))=3,"T",IF(OR(INDEX($E$20:$E$68,MATCH(AN73,$G$19:$G$67,0))="A",INDEX($E$20:$E$68,MATCH(AN73,$G$19:$G$67,0))="B",INDEX($E$20:$E$68,MATCH(AN73,$G$19:$G$67,0))="C",INDEX($E$20:$E$68,MATCH(AN73,$G$19:$G$67,0))="P"),CONCATENATE("A",RIGHT(INDEX($H$20:$H$68,MATCH(AN73,$G$19:$G$67,0)),1)),IF(INDEX($E$20:$E$68,MATCH(AN73,$G$19:$G$67,0))="PA",IF(MID(INDEX($H$20:$H$68,MATCH(AN73,$G$19:$G$67,0)),8,1)="W","AT",CONCATENATE("A",MID(INDEX($H$20:$H$68,MATCH(AN73,$G$19:$G$67,0)),8,1))),"")))),""),"")</f>
        <v/>
      </c>
      <c r="AN76" s="280" t="str">
        <f>IFERROR(IF($BV$8="T",IF(AM76="T",INDEX($J$19:$J$67,MATCH(AN73,$G$19:$G$67,0)),""),""),"")</f>
        <v/>
      </c>
      <c r="AO76" s="284" t="str">
        <f>IFERROR(IF($BV$8="T",IF(OR(AM76="H",LEFT(AM76,1)="A"),IF($BV$6="D",IF(AM76="H",0.5,0.1),0.5),""),""),"")</f>
        <v/>
      </c>
      <c r="AP76" s="281" t="str">
        <f>IFERROR(IF($BV$8="T",INDEX($AO$20:$AO$68,MATCH(AN73,$G$19:$G$67,0)),""),"")</f>
        <v/>
      </c>
      <c r="BO76" s="88"/>
      <c r="BP76" s="88"/>
      <c r="BR76" s="88"/>
      <c r="BS76" s="88"/>
      <c r="CB76" s="88"/>
      <c r="CC76" s="88"/>
      <c r="CD76" s="88"/>
      <c r="CE76" s="88"/>
      <c r="CF76" s="88"/>
      <c r="CG76" s="88"/>
      <c r="CH76" s="88"/>
      <c r="CI76" s="88"/>
      <c r="CJ76" s="88"/>
      <c r="CK76" s="88"/>
      <c r="CL76" s="88"/>
      <c r="CM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Q76" s="88"/>
      <c r="FR76" s="88" t="str">
        <f>IFERROR(IF(LEFT(FR73,FIND("*",FR73)-1)=LEFT($FQ$73,FIND("*",$FQ$73)-1),0.5,""),"")</f>
        <v/>
      </c>
      <c r="FS76" s="88" t="str">
        <f t="shared" ref="FS76:GU76" si="2763">IFERROR(IF(LEFT(FS73,FIND("*",FS73)-1)=LEFT($FQ$73,FIND("*",$FQ$73)-1),0.5,""),"")</f>
        <v/>
      </c>
      <c r="FT76" s="88" t="str">
        <f t="shared" si="2763"/>
        <v/>
      </c>
      <c r="FU76" s="88" t="str">
        <f t="shared" si="2763"/>
        <v/>
      </c>
      <c r="FV76" s="88" t="str">
        <f t="shared" si="2763"/>
        <v/>
      </c>
      <c r="FW76" s="88" t="str">
        <f t="shared" si="2763"/>
        <v/>
      </c>
      <c r="FX76" s="88" t="str">
        <f t="shared" si="2763"/>
        <v/>
      </c>
      <c r="FY76" s="88" t="str">
        <f t="shared" si="2763"/>
        <v/>
      </c>
      <c r="FZ76" s="88" t="str">
        <f t="shared" si="2763"/>
        <v/>
      </c>
      <c r="GA76" s="88" t="str">
        <f t="shared" si="2763"/>
        <v/>
      </c>
      <c r="GB76" s="88" t="str">
        <f t="shared" si="2763"/>
        <v/>
      </c>
      <c r="GC76" s="88" t="str">
        <f t="shared" si="2763"/>
        <v/>
      </c>
      <c r="GD76" s="88" t="str">
        <f t="shared" si="2763"/>
        <v/>
      </c>
      <c r="GE76" s="88" t="str">
        <f t="shared" si="2763"/>
        <v/>
      </c>
      <c r="GF76" s="88" t="str">
        <f t="shared" si="2763"/>
        <v/>
      </c>
      <c r="GG76" s="88" t="str">
        <f t="shared" si="2763"/>
        <v/>
      </c>
      <c r="GH76" s="88" t="str">
        <f t="shared" si="2763"/>
        <v/>
      </c>
      <c r="GI76" s="88" t="str">
        <f t="shared" si="2763"/>
        <v/>
      </c>
      <c r="GJ76" s="88" t="str">
        <f t="shared" si="2763"/>
        <v/>
      </c>
      <c r="GK76" s="88" t="str">
        <f t="shared" si="2763"/>
        <v/>
      </c>
      <c r="GL76" s="88" t="str">
        <f t="shared" si="2763"/>
        <v/>
      </c>
      <c r="GM76" s="88" t="str">
        <f t="shared" si="2763"/>
        <v/>
      </c>
      <c r="GN76" s="88" t="str">
        <f t="shared" si="2763"/>
        <v/>
      </c>
      <c r="GO76" s="88" t="str">
        <f t="shared" si="2763"/>
        <v/>
      </c>
      <c r="GP76" s="88" t="str">
        <f t="shared" si="2763"/>
        <v/>
      </c>
      <c r="GQ76" s="88" t="str">
        <f t="shared" si="2763"/>
        <v/>
      </c>
      <c r="GR76" s="88" t="str">
        <f t="shared" si="2763"/>
        <v/>
      </c>
      <c r="GS76" s="88" t="str">
        <f t="shared" si="2763"/>
        <v/>
      </c>
      <c r="GT76" s="88" t="str">
        <f t="shared" si="2763"/>
        <v/>
      </c>
      <c r="GU76" s="88" t="str">
        <f t="shared" si="2763"/>
        <v/>
      </c>
    </row>
    <row r="77" spans="1:231" ht="12.75" customHeight="1" x14ac:dyDescent="0.35">
      <c r="A77" s="29"/>
      <c r="B77" s="29"/>
      <c r="C77" s="29"/>
      <c r="D77" s="29"/>
      <c r="E77" s="30"/>
      <c r="F77" s="60"/>
      <c r="K77" s="14"/>
      <c r="L77" s="14"/>
      <c r="O77" s="14"/>
      <c r="P77" s="14"/>
      <c r="S77" s="14"/>
      <c r="T77" s="14"/>
      <c r="W77" s="14"/>
      <c r="X77" s="14"/>
      <c r="Y77" s="89" t="s">
        <v>1255</v>
      </c>
      <c r="AA77" s="14"/>
      <c r="AB77" s="14"/>
      <c r="AE77" s="14"/>
      <c r="AF77" s="14"/>
      <c r="AJ77" s="91"/>
      <c r="AK77" s="91"/>
      <c r="CB77" s="88"/>
      <c r="CC77" s="88"/>
      <c r="CD77" s="88"/>
      <c r="CE77" s="88"/>
      <c r="CF77" s="88"/>
      <c r="CG77" s="88"/>
      <c r="CH77" s="88"/>
      <c r="CI77" s="88"/>
      <c r="CJ77" s="88"/>
      <c r="CK77" s="88"/>
      <c r="CL77" s="88"/>
      <c r="CM77" s="88"/>
      <c r="EG77" s="88">
        <f t="shared" ref="EG77" si="2764">COUNTIF(EK77:FN77,0.3)</f>
        <v>0</v>
      </c>
      <c r="EH77" s="88">
        <f t="shared" ref="EH77" si="2765">COUNTIF(EK77:FN77,0.5)</f>
        <v>0</v>
      </c>
      <c r="EI77" s="88" t="str">
        <f t="shared" ref="EI77" si="2766">IF(AND(T9="",OR(EG77&gt;5,EH77&gt;5)),"X",IF(SUM(EK77:FN77)&gt;5,"X",""))</f>
        <v/>
      </c>
      <c r="EK77" s="88" t="str">
        <f t="shared" ref="EK77" si="2767">IF($T$5="",IF(RIGHT(J23,4)="*0,5",0.5,IF(RIGHT(J23,4)="*0,3",0.3,IF(EK24&lt;&gt;"",1,""))),IF(EK24&lt;&gt;"",IF(OR(RIGHT(J23,4)="*0,5",RIGHT(J23,4)="*0,3"),0.5,1),""))</f>
        <v/>
      </c>
      <c r="EL77" s="88" t="str">
        <f t="shared" ref="EL77" si="2768">IF($T$5="",IF(RIGHT(K23,4)="*0,5",0.5,IF(RIGHT(K23,4)="*0,3",0.3,IF(EL24&lt;&gt;"",1,""))),IF(EL24&lt;&gt;"",IF(OR(RIGHT(K23,4)="*0,5",RIGHT(K23,4)="*0,3"),0.5,1),""))</f>
        <v/>
      </c>
      <c r="EM77" s="88" t="str">
        <f t="shared" ref="EM77" si="2769">IF($T$5="",IF(RIGHT(L23,4)="*0,5",0.5,IF(RIGHT(L23,4)="*0,3",0.3,IF(EM24&lt;&gt;"",1,""))),IF(EM24&lt;&gt;"",IF(OR(RIGHT(L23,4)="*0,5",RIGHT(L23,4)="*0,3"),0.5,1),""))</f>
        <v/>
      </c>
      <c r="EN77" s="88" t="str">
        <f t="shared" ref="EN77" si="2770">IF($T$5="",IF(RIGHT(M23,4)="*0,5",0.5,IF(RIGHT(M23,4)="*0,3",0.3,IF(EN24&lt;&gt;"",1,""))),IF(EN24&lt;&gt;"",IF(OR(RIGHT(M23,4)="*0,5",RIGHT(M23,4)="*0,3"),0.5,1),""))</f>
        <v/>
      </c>
      <c r="EO77" s="88" t="str">
        <f t="shared" ref="EO77" si="2771">IF($T$5="",IF(RIGHT(N23,4)="*0,5",0.5,IF(RIGHT(N23,4)="*0,3",0.3,IF(EO24&lt;&gt;"",1,""))),IF(EO24&lt;&gt;"",IF(OR(RIGHT(N23,4)="*0,5",RIGHT(N23,4)="*0,3"),0.5,1),""))</f>
        <v/>
      </c>
      <c r="EP77" s="88" t="str">
        <f t="shared" ref="EP77" si="2772">IF($T$5="",IF(RIGHT(O23,4)="*0,5",0.5,IF(RIGHT(O23,4)="*0,3",0.3,IF(EP24&lt;&gt;"",1,""))),IF(EP24&lt;&gt;"",IF(OR(RIGHT(O23,4)="*0,5",RIGHT(O23,4)="*0,3"),0.5,1),""))</f>
        <v/>
      </c>
      <c r="EQ77" s="88" t="str">
        <f t="shared" ref="EQ77" si="2773">IF($T$5="",IF(RIGHT(P23,4)="*0,5",0.5,IF(RIGHT(P23,4)="*0,3",0.3,IF(EQ24&lt;&gt;"",1,""))),IF(EQ24&lt;&gt;"",IF(OR(RIGHT(P23,4)="*0,5",RIGHT(P23,4)="*0,3"),0.5,1),""))</f>
        <v/>
      </c>
      <c r="ER77" s="88" t="str">
        <f t="shared" ref="ER77" si="2774">IF($T$5="",IF(RIGHT(Q23,4)="*0,5",0.5,IF(RIGHT(Q23,4)="*0,3",0.3,IF(ER24&lt;&gt;"",1,""))),IF(ER24&lt;&gt;"",IF(OR(RIGHT(Q23,4)="*0,5",RIGHT(Q23,4)="*0,3"),0.5,1),""))</f>
        <v/>
      </c>
      <c r="ES77" s="88" t="str">
        <f t="shared" ref="ES77" si="2775">IF($T$5="",IF(RIGHT(R23,4)="*0,5",0.5,IF(RIGHT(R23,4)="*0,3",0.3,IF(ES24&lt;&gt;"",1,""))),IF(ES24&lt;&gt;"",IF(OR(RIGHT(R23,4)="*0,5",RIGHT(R23,4)="*0,3"),0.5,1),""))</f>
        <v/>
      </c>
      <c r="ET77" s="88" t="str">
        <f t="shared" ref="ET77" si="2776">IF($T$5="",IF(RIGHT(S23,4)="*0,5",0.5,IF(RIGHT(S23,4)="*0,3",0.3,IF(ET24&lt;&gt;"",1,""))),IF(ET24&lt;&gt;"",IF(OR(RIGHT(S23,4)="*0,5",RIGHT(S23,4)="*0,3"),0.5,1),""))</f>
        <v/>
      </c>
      <c r="EU77" s="88" t="str">
        <f t="shared" ref="EU77" si="2777">IF($T$5="",IF(RIGHT(T23,4)="*0,5",0.5,IF(RIGHT(T23,4)="*0,3",0.3,IF(EU24&lt;&gt;"",1,""))),IF(EU24&lt;&gt;"",IF(OR(RIGHT(T23,4)="*0,5",RIGHT(T23,4)="*0,3"),0.5,1),""))</f>
        <v/>
      </c>
      <c r="EV77" s="88" t="str">
        <f t="shared" ref="EV77" si="2778">IF($T$5="",IF(RIGHT(U23,4)="*0,5",0.5,IF(RIGHT(U23,4)="*0,3",0.3,IF(EV24&lt;&gt;"",1,""))),IF(EV24&lt;&gt;"",IF(OR(RIGHT(U23,4)="*0,5",RIGHT(U23,4)="*0,3"),0.5,1),""))</f>
        <v/>
      </c>
      <c r="EW77" s="88" t="str">
        <f t="shared" ref="EW77" si="2779">IF($T$5="",IF(RIGHT(V23,4)="*0,5",0.5,IF(RIGHT(V23,4)="*0,3",0.3,IF(EW24&lt;&gt;"",1,""))),IF(EW24&lt;&gt;"",IF(OR(RIGHT(V23,4)="*0,5",RIGHT(V23,4)="*0,3"),0.5,1),""))</f>
        <v/>
      </c>
      <c r="EX77" s="88" t="str">
        <f t="shared" ref="EX77" si="2780">IF($T$5="",IF(RIGHT(W23,4)="*0,5",0.5,IF(RIGHT(W23,4)="*0,3",0.3,IF(EX24&lt;&gt;"",1,""))),IF(EX24&lt;&gt;"",IF(OR(RIGHT(W23,4)="*0,5",RIGHT(W23,4)="*0,3"),0.5,1),""))</f>
        <v/>
      </c>
      <c r="EY77" s="88" t="str">
        <f t="shared" ref="EY77" si="2781">IF($T$5="",IF(RIGHT(X23,4)="*0,5",0.5,IF(RIGHT(X23,4)="*0,3",0.3,IF(EY24&lt;&gt;"",1,""))),IF(EY24&lt;&gt;"",IF(OR(RIGHT(X23,4)="*0,5",RIGHT(X23,4)="*0,3"),0.5,1),""))</f>
        <v/>
      </c>
      <c r="EZ77" s="88" t="str">
        <f t="shared" ref="EZ77" si="2782">IF($T$5="",IF(RIGHT(Y23,4)="*0,5",0.5,IF(RIGHT(Y23,4)="*0,3",0.3,IF(EZ24&lt;&gt;"",1,""))),IF(EZ24&lt;&gt;"",IF(OR(RIGHT(Y23,4)="*0,5",RIGHT(Y23,4)="*0,3"),0.5,1),""))</f>
        <v/>
      </c>
      <c r="FA77" s="88" t="str">
        <f t="shared" ref="FA77" si="2783">IF($T$5="",IF(RIGHT(Z23,4)="*0,5",0.5,IF(RIGHT(Z23,4)="*0,3",0.3,IF(FA24&lt;&gt;"",1,""))),IF(FA24&lt;&gt;"",IF(OR(RIGHT(Z23,4)="*0,5",RIGHT(Z23,4)="*0,3"),0.5,1),""))</f>
        <v/>
      </c>
      <c r="FB77" s="88" t="str">
        <f t="shared" ref="FB77" si="2784">IF($T$5="",IF(RIGHT(AA23,4)="*0,5",0.5,IF(RIGHT(AA23,4)="*0,3",0.3,IF(FB24&lt;&gt;"",1,""))),IF(FB24&lt;&gt;"",IF(OR(RIGHT(AA23,4)="*0,5",RIGHT(AA23,4)="*0,3"),0.5,1),""))</f>
        <v/>
      </c>
      <c r="FC77" s="88" t="str">
        <f t="shared" ref="FC77" si="2785">IF($T$5="",IF(RIGHT(AB23,4)="*0,5",0.5,IF(RIGHT(AB23,4)="*0,3",0.3,IF(FC24&lt;&gt;"",1,""))),IF(FC24&lt;&gt;"",IF(OR(RIGHT(AB23,4)="*0,5",RIGHT(AB23,4)="*0,3"),0.5,1),""))</f>
        <v/>
      </c>
      <c r="FD77" s="88" t="str">
        <f t="shared" ref="FD77" si="2786">IF($T$5="",IF(RIGHT(AC23,4)="*0,5",0.5,IF(RIGHT(AC23,4)="*0,3",0.3,IF(FD24&lt;&gt;"",1,""))),IF(FD24&lt;&gt;"",IF(OR(RIGHT(AC23,4)="*0,5",RIGHT(AC23,4)="*0,3"),0.5,1),""))</f>
        <v/>
      </c>
      <c r="FE77" s="88" t="str">
        <f t="shared" ref="FE77" si="2787">IF($T$5="",IF(RIGHT(AD23,4)="*0,5",0.5,IF(RIGHT(AD23,4)="*0,3",0.3,IF(FE24&lt;&gt;"",1,""))),IF(FE24&lt;&gt;"",IF(OR(RIGHT(AD23,4)="*0,5",RIGHT(AD23,4)="*0,3"),0.5,1),""))</f>
        <v/>
      </c>
      <c r="FF77" s="88" t="str">
        <f t="shared" ref="FF77" si="2788">IF($T$5="",IF(RIGHT(AE23,4)="*0,5",0.5,IF(RIGHT(AE23,4)="*0,3",0.3,IF(FF24&lt;&gt;"",1,""))),IF(FF24&lt;&gt;"",IF(OR(RIGHT(AE23,4)="*0,5",RIGHT(AE23,4)="*0,3"),0.5,1),""))</f>
        <v/>
      </c>
      <c r="FG77" s="88" t="str">
        <f t="shared" ref="FG77" si="2789">IF($T$5="",IF(RIGHT(AF23,4)="*0,5",0.5,IF(RIGHT(AF23,4)="*0,3",0.3,IF(FG24&lt;&gt;"",1,""))),IF(FG24&lt;&gt;"",IF(OR(RIGHT(AF23,4)="*0,5",RIGHT(AF23,4)="*0,3"),0.5,1),""))</f>
        <v/>
      </c>
      <c r="FH77" s="88" t="str">
        <f t="shared" ref="FH77" si="2790">IF($T$5="",IF(RIGHT(AG23,4)="*0,5",0.5,IF(RIGHT(AG23,4)="*0,3",0.3,IF(FH24&lt;&gt;"",1,""))),IF(FH24&lt;&gt;"",IF(OR(RIGHT(AG23,4)="*0,5",RIGHT(AG23,4)="*0,3"),0.5,1),""))</f>
        <v/>
      </c>
      <c r="FI77" s="88" t="str">
        <f t="shared" ref="FI77" si="2791">IF($T$5="",IF(RIGHT(AH23,4)="*0,5",0.5,IF(RIGHT(AH23,4)="*0,3",0.3,IF(FI24&lt;&gt;"",1,""))),IF(FI24&lt;&gt;"",IF(OR(RIGHT(AH23,4)="*0,5",RIGHT(AH23,4)="*0,3"),0.5,1),""))</f>
        <v/>
      </c>
      <c r="FJ77" s="88" t="str">
        <f t="shared" ref="FJ77" si="2792">IF($T$5="",IF(RIGHT(AI23,4)="*0,5",0.5,IF(RIGHT(AI23,4)="*0,3",0.3,IF(FJ24&lt;&gt;"",1,""))),IF(FJ24&lt;&gt;"",IF(OR(RIGHT(AI23,4)="*0,5",RIGHT(AI23,4)="*0,3"),0.5,1),""))</f>
        <v/>
      </c>
      <c r="FK77" s="88" t="str">
        <f t="shared" ref="FK77" si="2793">IF($T$5="",IF(RIGHT(AJ23,4)="*0,5",0.5,IF(RIGHT(AJ23,4)="*0,3",0.3,IF(FK24&lt;&gt;"",1,""))),IF(FK24&lt;&gt;"",IF(OR(RIGHT(AJ23,4)="*0,5",RIGHT(AJ23,4)="*0,3"),0.5,1),""))</f>
        <v/>
      </c>
      <c r="FL77" s="88" t="str">
        <f t="shared" ref="FL77" si="2794">IF($T$5="",IF(RIGHT(AK23,4)="*0,5",0.5,IF(RIGHT(AK23,4)="*0,3",0.3,IF(FL24&lt;&gt;"",1,""))),IF(FL24&lt;&gt;"",IF(OR(RIGHT(AK23,4)="*0,5",RIGHT(AK23,4)="*0,3"),0.5,1),""))</f>
        <v/>
      </c>
      <c r="FM77" s="88" t="str">
        <f t="shared" ref="FM77" si="2795">IF($T$5="",IF(RIGHT(AL23,4)="*0,5",0.5,IF(RIGHT(AL23,4)="*0,3",0.3,IF(FM24&lt;&gt;"",1,""))),IF(FM24&lt;&gt;"",IF(OR(RIGHT(AL23,4)="*0,5",RIGHT(AL23,4)="*0,3"),0.5,1),""))</f>
        <v/>
      </c>
      <c r="FN77" s="88" t="str">
        <f t="shared" ref="FN77" si="2796">IF($T$5="",IF(RIGHT(AM23,4)="*0,5",0.5,IF(RIGHT(AM23,4)="*0,3",0.3,IF(FN24&lt;&gt;"",1,""))),IF(FN24&lt;&gt;"",IF(OR(RIGHT(AM23,4)="*0,5",RIGHT(AM23,4)="*0,3"),0.5,1),""))</f>
        <v/>
      </c>
      <c r="FQ77" s="88"/>
      <c r="FR77" s="88"/>
      <c r="FS77" s="88"/>
      <c r="FT77" s="88"/>
      <c r="FU77" s="88"/>
      <c r="FV77" s="88"/>
      <c r="FW77" s="88"/>
      <c r="FX77" s="88"/>
      <c r="FY77" s="88"/>
      <c r="FZ77" s="88"/>
      <c r="GA77" s="88"/>
      <c r="GB77" s="88"/>
      <c r="GC77" s="88"/>
      <c r="GD77" s="88"/>
      <c r="GE77" s="88"/>
      <c r="GF77" s="88"/>
      <c r="GG77" s="88"/>
      <c r="GH77" s="88"/>
      <c r="GI77" s="88"/>
      <c r="GJ77" s="88"/>
      <c r="GK77" s="88"/>
      <c r="GL77" s="88"/>
      <c r="GM77" s="88"/>
      <c r="GN77" s="88"/>
      <c r="GO77" s="88"/>
      <c r="GP77" s="88"/>
      <c r="GQ77" s="88"/>
      <c r="GR77" s="88"/>
      <c r="GS77" s="88"/>
      <c r="GT77" s="88"/>
      <c r="GU77" s="88"/>
    </row>
    <row r="78" spans="1:231" ht="12.75" customHeight="1" x14ac:dyDescent="0.35">
      <c r="F78" s="60"/>
      <c r="G78" s="12" t="s">
        <v>580</v>
      </c>
      <c r="H78" s="14">
        <v>1</v>
      </c>
      <c r="J78" s="12" t="s">
        <v>584</v>
      </c>
      <c r="K78" s="14">
        <v>2</v>
      </c>
      <c r="M78" s="12" t="s">
        <v>585</v>
      </c>
      <c r="N78" s="14">
        <v>3</v>
      </c>
      <c r="P78" s="12" t="s">
        <v>586</v>
      </c>
      <c r="Q78" s="14">
        <v>4</v>
      </c>
      <c r="S78" s="12" t="s">
        <v>587</v>
      </c>
      <c r="T78" s="14">
        <v>5</v>
      </c>
      <c r="V78" s="12" t="s">
        <v>588</v>
      </c>
      <c r="W78" s="14">
        <v>6</v>
      </c>
      <c r="Y78" s="12" t="s">
        <v>589</v>
      </c>
      <c r="Z78" s="14">
        <v>7</v>
      </c>
      <c r="AB78" s="12" t="s">
        <v>590</v>
      </c>
      <c r="AC78" s="14">
        <v>8</v>
      </c>
      <c r="AE78" s="12" t="s">
        <v>591</v>
      </c>
      <c r="AF78" s="14">
        <v>9</v>
      </c>
      <c r="AH78" s="12" t="s">
        <v>592</v>
      </c>
      <c r="AI78" s="14">
        <v>10</v>
      </c>
      <c r="AJ78" s="106"/>
      <c r="AK78" s="106" t="s">
        <v>593</v>
      </c>
      <c r="AL78" s="105">
        <v>11</v>
      </c>
      <c r="AM78" s="106"/>
      <c r="CB78" s="88"/>
      <c r="CC78" s="88"/>
      <c r="CD78" s="88"/>
      <c r="CE78" s="88"/>
      <c r="CF78" s="88"/>
      <c r="CG78" s="88"/>
      <c r="CH78" s="88"/>
      <c r="CI78" s="88"/>
      <c r="CJ78" s="88"/>
      <c r="CK78" s="88"/>
      <c r="CL78" s="88"/>
      <c r="CM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91">
        <v>2</v>
      </c>
      <c r="FP78" s="88" t="str">
        <f t="shared" ref="FP78" si="2797">IF(SUM(FR81:GU81)&gt;2,FQ78,"")</f>
        <v/>
      </c>
      <c r="FQ78" s="88" t="str" cm="1">
        <f t="array" ref="FQ78">IF(SUM(FR80:GU80)&gt;0,_xlfn.LET(_xlpm.area,FR78:GU78,_xlpm.texts,_xlfn.UNIQUE(_xlfn._xlws.FILTER(_xlpm.area,_xlpm.area&lt;&gt;"")),_xlpm.number,COUNTIF(_xlpm.area,_xlpm.texts),INDEX(_xlpm.texts,MATCH(MAX(_xlpm.number),_xlpm.number,0))),"")</f>
        <v/>
      </c>
      <c r="FR78" s="88" cm="1">
        <f t="array" ref="FR78">_xlfn.LET(_xlpm.rad,$FO78+1,_xlpm.typ,INDEX($E$20:$E$68,_xlpm.rad),_xlpm.kod,INDEX(J$19:J$68,_xlpm.rad),IFERROR(IF(AND(_xlpm.typ="H",_xlpm.kod&lt;&gt;""),UPPER(_xlpm.kod),FR$18),FR$18))</f>
        <v>1</v>
      </c>
      <c r="FS78" s="88" cm="1">
        <f t="array" ref="FS78">_xlfn.LET(_xlpm.rad,$FO78+1,_xlpm.typ,INDEX($E$20:$E$68,_xlpm.rad),_xlpm.kod,INDEX(K$19:K$68,_xlpm.rad),IFERROR(IF(AND(_xlpm.typ="H",_xlpm.kod&lt;&gt;""),UPPER(_xlpm.kod),FS$18),FS$18))</f>
        <v>2</v>
      </c>
      <c r="FT78" s="88" cm="1">
        <f t="array" ref="FT78">_xlfn.LET(_xlpm.rad,$FO78+1,_xlpm.typ,INDEX($E$20:$E$68,_xlpm.rad),_xlpm.kod,INDEX(L$19:L$68,_xlpm.rad),IFERROR(IF(AND(_xlpm.typ="H",_xlpm.kod&lt;&gt;""),UPPER(_xlpm.kod),FT$18),FT$18))</f>
        <v>3</v>
      </c>
      <c r="FU78" s="88" cm="1">
        <f t="array" ref="FU78">_xlfn.LET(_xlpm.rad,$FO78+1,_xlpm.typ,INDEX($E$20:$E$68,_xlpm.rad),_xlpm.kod,INDEX(M$19:M$68,_xlpm.rad),IFERROR(IF(AND(_xlpm.typ="H",_xlpm.kod&lt;&gt;""),UPPER(_xlpm.kod),FU$18),FU$18))</f>
        <v>4</v>
      </c>
      <c r="FV78" s="88" cm="1">
        <f t="array" ref="FV78">_xlfn.LET(_xlpm.rad,$FO78+1,_xlpm.typ,INDEX($E$20:$E$68,_xlpm.rad),_xlpm.kod,INDEX(N$19:N$68,_xlpm.rad),IFERROR(IF(AND(_xlpm.typ="H",_xlpm.kod&lt;&gt;""),UPPER(_xlpm.kod),FV$18),FV$18))</f>
        <v>5</v>
      </c>
      <c r="FW78" s="88" cm="1">
        <f t="array" ref="FW78">_xlfn.LET(_xlpm.rad,$FO78+1,_xlpm.typ,INDEX($E$20:$E$68,_xlpm.rad),_xlpm.kod,INDEX(O$19:O$68,_xlpm.rad),IFERROR(IF(AND(_xlpm.typ="H",_xlpm.kod&lt;&gt;""),UPPER(_xlpm.kod),FW$18),FW$18))</f>
        <v>6</v>
      </c>
      <c r="FX78" s="88" cm="1">
        <f t="array" ref="FX78">_xlfn.LET(_xlpm.rad,$FO78+1,_xlpm.typ,INDEX($E$20:$E$68,_xlpm.rad),_xlpm.kod,INDEX(P$19:P$68,_xlpm.rad),IFERROR(IF(AND(_xlpm.typ="H",_xlpm.kod&lt;&gt;""),UPPER(_xlpm.kod),FX$18),FX$18))</f>
        <v>7</v>
      </c>
      <c r="FY78" s="88" cm="1">
        <f t="array" ref="FY78">_xlfn.LET(_xlpm.rad,$FO78+1,_xlpm.typ,INDEX($E$20:$E$68,_xlpm.rad),_xlpm.kod,INDEX(Q$19:Q$68,_xlpm.rad),IFERROR(IF(AND(_xlpm.typ="H",_xlpm.kod&lt;&gt;""),UPPER(_xlpm.kod),FY$18),FY$18))</f>
        <v>8</v>
      </c>
      <c r="FZ78" s="88" cm="1">
        <f t="array" ref="FZ78">_xlfn.LET(_xlpm.rad,$FO78+1,_xlpm.typ,INDEX($E$20:$E$68,_xlpm.rad),_xlpm.kod,INDEX(R$19:R$68,_xlpm.rad),IFERROR(IF(AND(_xlpm.typ="H",_xlpm.kod&lt;&gt;""),UPPER(_xlpm.kod),FZ$18),FZ$18))</f>
        <v>9</v>
      </c>
      <c r="GA78" s="88" cm="1">
        <f t="array" ref="GA78">_xlfn.LET(_xlpm.rad,$FO78+1,_xlpm.typ,INDEX($E$20:$E$68,_xlpm.rad),_xlpm.kod,INDEX(S$19:S$68,_xlpm.rad),IFERROR(IF(AND(_xlpm.typ="H",_xlpm.kod&lt;&gt;""),UPPER(_xlpm.kod),GA$18),GA$18))</f>
        <v>10</v>
      </c>
      <c r="GB78" s="88" cm="1">
        <f t="array" ref="GB78">_xlfn.LET(_xlpm.rad,$FO78+1,_xlpm.typ,INDEX($E$20:$E$68,_xlpm.rad),_xlpm.kod,INDEX(T$19:T$68,_xlpm.rad),IFERROR(IF(AND(_xlpm.typ="H",_xlpm.kod&lt;&gt;""),UPPER(_xlpm.kod),GB$18),GB$18))</f>
        <v>11</v>
      </c>
      <c r="GC78" s="88" cm="1">
        <f t="array" ref="GC78">_xlfn.LET(_xlpm.rad,$FO78+1,_xlpm.typ,INDEX($E$20:$E$68,_xlpm.rad),_xlpm.kod,INDEX(U$19:U$68,_xlpm.rad),IFERROR(IF(AND(_xlpm.typ="H",_xlpm.kod&lt;&gt;""),UPPER(_xlpm.kod),GC$18),GC$18))</f>
        <v>12</v>
      </c>
      <c r="GD78" s="88" cm="1">
        <f t="array" ref="GD78">_xlfn.LET(_xlpm.rad,$FO78+1,_xlpm.typ,INDEX($E$20:$E$68,_xlpm.rad),_xlpm.kod,INDEX(V$19:V$68,_xlpm.rad),IFERROR(IF(AND(_xlpm.typ="H",_xlpm.kod&lt;&gt;""),UPPER(_xlpm.kod),GD$18),GD$18))</f>
        <v>13</v>
      </c>
      <c r="GE78" s="88" cm="1">
        <f t="array" ref="GE78">_xlfn.LET(_xlpm.rad,$FO78+1,_xlpm.typ,INDEX($E$20:$E$68,_xlpm.rad),_xlpm.kod,INDEX(W$19:W$68,_xlpm.rad),IFERROR(IF(AND(_xlpm.typ="H",_xlpm.kod&lt;&gt;""),UPPER(_xlpm.kod),GE$18),GE$18))</f>
        <v>14</v>
      </c>
      <c r="GF78" s="88" cm="1">
        <f t="array" ref="GF78">_xlfn.LET(_xlpm.rad,$FO78+1,_xlpm.typ,INDEX($E$20:$E$68,_xlpm.rad),_xlpm.kod,INDEX(X$19:X$68,_xlpm.rad),IFERROR(IF(AND(_xlpm.typ="H",_xlpm.kod&lt;&gt;""),UPPER(_xlpm.kod),GF$18),GF$18))</f>
        <v>15</v>
      </c>
      <c r="GG78" s="88" cm="1">
        <f t="array" ref="GG78">_xlfn.LET(_xlpm.rad,$FO78+1,_xlpm.typ,INDEX($E$20:$E$68,_xlpm.rad),_xlpm.kod,INDEX(Y$19:Y$68,_xlpm.rad),IFERROR(IF(AND(_xlpm.typ="H",_xlpm.kod&lt;&gt;""),UPPER(_xlpm.kod),GG$18),GG$18))</f>
        <v>16</v>
      </c>
      <c r="GH78" s="88" cm="1">
        <f t="array" ref="GH78">_xlfn.LET(_xlpm.rad,$FO78+1,_xlpm.typ,INDEX($E$20:$E$68,_xlpm.rad),_xlpm.kod,INDEX(Z$19:Z$68,_xlpm.rad),IFERROR(IF(AND(_xlpm.typ="H",_xlpm.kod&lt;&gt;""),UPPER(_xlpm.kod),GH$18),GH$18))</f>
        <v>17</v>
      </c>
      <c r="GI78" s="88" cm="1">
        <f t="array" ref="GI78">_xlfn.LET(_xlpm.rad,$FO78+1,_xlpm.typ,INDEX($E$20:$E$68,_xlpm.rad),_xlpm.kod,INDEX(AA$19:AA$68,_xlpm.rad),IFERROR(IF(AND(_xlpm.typ="H",_xlpm.kod&lt;&gt;""),UPPER(_xlpm.kod),GI$18),GI$18))</f>
        <v>18</v>
      </c>
      <c r="GJ78" s="88" cm="1">
        <f t="array" ref="GJ78">_xlfn.LET(_xlpm.rad,$FO78+1,_xlpm.typ,INDEX($E$20:$E$68,_xlpm.rad),_xlpm.kod,INDEX(AB$19:AB$68,_xlpm.rad),IFERROR(IF(AND(_xlpm.typ="H",_xlpm.kod&lt;&gt;""),UPPER(_xlpm.kod),GJ$18),GJ$18))</f>
        <v>19</v>
      </c>
      <c r="GK78" s="88" cm="1">
        <f t="array" ref="GK78">_xlfn.LET(_xlpm.rad,$FO78+1,_xlpm.typ,INDEX($E$20:$E$68,_xlpm.rad),_xlpm.kod,INDEX(AC$19:AC$68,_xlpm.rad),IFERROR(IF(AND(_xlpm.typ="H",_xlpm.kod&lt;&gt;""),UPPER(_xlpm.kod),GK$18),GK$18))</f>
        <v>20</v>
      </c>
      <c r="GL78" s="88" cm="1">
        <f t="array" ref="GL78">_xlfn.LET(_xlpm.rad,$FO78+1,_xlpm.typ,INDEX($E$20:$E$68,_xlpm.rad),_xlpm.kod,INDEX(AD$19:AD$68,_xlpm.rad),IFERROR(IF(AND(_xlpm.typ="H",_xlpm.kod&lt;&gt;""),UPPER(_xlpm.kod),GL$18),GL$18))</f>
        <v>21</v>
      </c>
      <c r="GM78" s="88" cm="1">
        <f t="array" ref="GM78">_xlfn.LET(_xlpm.rad,$FO78+1,_xlpm.typ,INDEX($E$20:$E$68,_xlpm.rad),_xlpm.kod,INDEX(AE$19:AE$68,_xlpm.rad),IFERROR(IF(AND(_xlpm.typ="H",_xlpm.kod&lt;&gt;""),UPPER(_xlpm.kod),GM$18),GM$18))</f>
        <v>22</v>
      </c>
      <c r="GN78" s="88" cm="1">
        <f t="array" ref="GN78">_xlfn.LET(_xlpm.rad,$FO78+1,_xlpm.typ,INDEX($E$20:$E$68,_xlpm.rad),_xlpm.kod,INDEX(AF$19:AF$68,_xlpm.rad),IFERROR(IF(AND(_xlpm.typ="H",_xlpm.kod&lt;&gt;""),UPPER(_xlpm.kod),GN$18),GN$18))</f>
        <v>23</v>
      </c>
      <c r="GO78" s="88" cm="1">
        <f t="array" ref="GO78">_xlfn.LET(_xlpm.rad,$FO78+1,_xlpm.typ,INDEX($E$20:$E$68,_xlpm.rad),_xlpm.kod,INDEX(AG$19:AG$68,_xlpm.rad),IFERROR(IF(AND(_xlpm.typ="H",_xlpm.kod&lt;&gt;""),UPPER(_xlpm.kod),GO$18),GO$18))</f>
        <v>24</v>
      </c>
      <c r="GP78" s="88" cm="1">
        <f t="array" ref="GP78">_xlfn.LET(_xlpm.rad,$FO78+1,_xlpm.typ,INDEX($E$20:$E$68,_xlpm.rad),_xlpm.kod,INDEX(AH$19:AH$68,_xlpm.rad),IFERROR(IF(AND(_xlpm.typ="H",_xlpm.kod&lt;&gt;""),UPPER(_xlpm.kod),GP$18),GP$18))</f>
        <v>25</v>
      </c>
      <c r="GQ78" s="88" cm="1">
        <f t="array" ref="GQ78">_xlfn.LET(_xlpm.rad,$FO78+1,_xlpm.typ,INDEX($E$20:$E$68,_xlpm.rad),_xlpm.kod,INDEX(AI$19:AI$68,_xlpm.rad),IFERROR(IF(AND(_xlpm.typ="H",_xlpm.kod&lt;&gt;""),UPPER(_xlpm.kod),GQ$18),GQ$18))</f>
        <v>26</v>
      </c>
      <c r="GR78" s="88" cm="1">
        <f t="array" ref="GR78">_xlfn.LET(_xlpm.rad,$FO78+1,_xlpm.typ,INDEX($E$20:$E$68,_xlpm.rad),_xlpm.kod,INDEX(AJ$19:AJ$68,_xlpm.rad),IFERROR(IF(AND(_xlpm.typ="H",_xlpm.kod&lt;&gt;""),UPPER(_xlpm.kod),GR$18),GR$18))</f>
        <v>27</v>
      </c>
      <c r="GS78" s="88" cm="1">
        <f t="array" ref="GS78">_xlfn.LET(_xlpm.rad,$FO78+1,_xlpm.typ,INDEX($E$20:$E$68,_xlpm.rad),_xlpm.kod,INDEX(AK$19:AK$68,_xlpm.rad),IFERROR(IF(AND(_xlpm.typ="H",_xlpm.kod&lt;&gt;""),UPPER(_xlpm.kod),GS$18),GS$18))</f>
        <v>28</v>
      </c>
      <c r="GT78" s="88" cm="1">
        <f t="array" ref="GT78">_xlfn.LET(_xlpm.rad,$FO78+1,_xlpm.typ,INDEX($E$20:$E$68,_xlpm.rad),_xlpm.kod,INDEX(AL$19:AL$68,_xlpm.rad),IFERROR(IF(AND(_xlpm.typ="H",_xlpm.kod&lt;&gt;""),UPPER(_xlpm.kod),GT$18),GT$18))</f>
        <v>29</v>
      </c>
      <c r="GU78" s="88" cm="1">
        <f t="array" ref="GU78">_xlfn.LET(_xlpm.rad,$FO78+1,_xlpm.typ,INDEX($E$20:$E$68,_xlpm.rad),_xlpm.kod,INDEX(AM$19:AM$68,_xlpm.rad),IFERROR(IF(AND(_xlpm.typ="H",_xlpm.kod&lt;&gt;""),UPPER(_xlpm.kod),GU$18),GU$18))</f>
        <v>30</v>
      </c>
    </row>
    <row r="79" spans="1:231" ht="12.75" customHeight="1" x14ac:dyDescent="0.35">
      <c r="G79" s="12" t="s">
        <v>581</v>
      </c>
      <c r="H79" s="12" t="s">
        <v>582</v>
      </c>
      <c r="I79" s="12" t="s">
        <v>583</v>
      </c>
      <c r="J79" s="12" t="s">
        <v>581</v>
      </c>
      <c r="K79" s="12" t="s">
        <v>582</v>
      </c>
      <c r="L79" s="12" t="s">
        <v>583</v>
      </c>
      <c r="M79" s="12" t="s">
        <v>581</v>
      </c>
      <c r="N79" s="12" t="s">
        <v>582</v>
      </c>
      <c r="O79" s="12" t="s">
        <v>583</v>
      </c>
      <c r="P79" s="12" t="s">
        <v>581</v>
      </c>
      <c r="Q79" s="12" t="s">
        <v>582</v>
      </c>
      <c r="R79" s="12" t="s">
        <v>583</v>
      </c>
      <c r="S79" s="12" t="s">
        <v>581</v>
      </c>
      <c r="T79" s="12" t="s">
        <v>582</v>
      </c>
      <c r="U79" s="12" t="s">
        <v>583</v>
      </c>
      <c r="V79" s="12" t="s">
        <v>581</v>
      </c>
      <c r="W79" s="12" t="s">
        <v>582</v>
      </c>
      <c r="X79" s="12" t="s">
        <v>583</v>
      </c>
      <c r="Y79" s="12" t="s">
        <v>581</v>
      </c>
      <c r="Z79" s="12" t="s">
        <v>582</v>
      </c>
      <c r="AA79" s="12" t="s">
        <v>583</v>
      </c>
      <c r="AB79" s="12" t="s">
        <v>581</v>
      </c>
      <c r="AC79" s="12" t="s">
        <v>582</v>
      </c>
      <c r="AD79" s="12" t="s">
        <v>583</v>
      </c>
      <c r="AE79" s="12" t="s">
        <v>581</v>
      </c>
      <c r="AF79" s="12" t="s">
        <v>582</v>
      </c>
      <c r="AG79" s="12" t="s">
        <v>583</v>
      </c>
      <c r="AH79" s="12" t="s">
        <v>581</v>
      </c>
      <c r="AI79" s="12" t="s">
        <v>582</v>
      </c>
      <c r="AJ79" s="106" t="s">
        <v>583</v>
      </c>
      <c r="AK79" s="106" t="s">
        <v>581</v>
      </c>
      <c r="AL79" s="106" t="s">
        <v>582</v>
      </c>
      <c r="AM79" s="106" t="s">
        <v>583</v>
      </c>
      <c r="CB79" s="88"/>
      <c r="CC79" s="88"/>
      <c r="CD79" s="88"/>
      <c r="CE79" s="88"/>
      <c r="CF79" s="88"/>
      <c r="CG79" s="88"/>
      <c r="CH79" s="88"/>
      <c r="CI79" s="88"/>
      <c r="CJ79" s="88"/>
      <c r="CK79" s="88"/>
      <c r="CL79" s="88"/>
      <c r="CM79" s="88"/>
      <c r="EG79" s="88">
        <f t="shared" ref="EG79" si="2798">COUNTIF(EK79:FN79,0.3)</f>
        <v>0</v>
      </c>
      <c r="EH79" s="88">
        <f t="shared" ref="EH79" si="2799">COUNTIF(EK79:FN79,0.5)</f>
        <v>0</v>
      </c>
      <c r="EI79" s="88" t="str">
        <f t="shared" ref="EI79" si="2800">IF(AND(T11="",OR(EG79&gt;5,EH79&gt;5)),"X",IF(SUM(EK79:FN79)&gt;5,"X",""))</f>
        <v/>
      </c>
      <c r="EK79" s="88" t="str">
        <f t="shared" ref="EK79" si="2801">IF($T$5="",IF(RIGHT(J25,4)="*0,5",0.5,IF(RIGHT(J25,4)="*0,3",0.3,IF(EK26&lt;&gt;"",1,""))),IF(EK26&lt;&gt;"",IF(OR(RIGHT(J25,4)="*0,5",RIGHT(J25,4)="*0,3"),0.5,1),""))</f>
        <v/>
      </c>
      <c r="EL79" s="88" t="str">
        <f t="shared" ref="EL79" si="2802">IF($T$5="",IF(RIGHT(K25,4)="*0,5",0.5,IF(RIGHT(K25,4)="*0,3",0.3,IF(EL26&lt;&gt;"",1,""))),IF(EL26&lt;&gt;"",IF(OR(RIGHT(K25,4)="*0,5",RIGHT(K25,4)="*0,3"),0.5,1),""))</f>
        <v/>
      </c>
      <c r="EM79" s="88" t="str">
        <f t="shared" ref="EM79" si="2803">IF($T$5="",IF(RIGHT(L25,4)="*0,5",0.5,IF(RIGHT(L25,4)="*0,3",0.3,IF(EM26&lt;&gt;"",1,""))),IF(EM26&lt;&gt;"",IF(OR(RIGHT(L25,4)="*0,5",RIGHT(L25,4)="*0,3"),0.5,1),""))</f>
        <v/>
      </c>
      <c r="EN79" s="88" t="str">
        <f t="shared" ref="EN79" si="2804">IF($T$5="",IF(RIGHT(M25,4)="*0,5",0.5,IF(RIGHT(M25,4)="*0,3",0.3,IF(EN26&lt;&gt;"",1,""))),IF(EN26&lt;&gt;"",IF(OR(RIGHT(M25,4)="*0,5",RIGHT(M25,4)="*0,3"),0.5,1),""))</f>
        <v/>
      </c>
      <c r="EO79" s="88" t="str">
        <f t="shared" ref="EO79" si="2805">IF($T$5="",IF(RIGHT(N25,4)="*0,5",0.5,IF(RIGHT(N25,4)="*0,3",0.3,IF(EO26&lt;&gt;"",1,""))),IF(EO26&lt;&gt;"",IF(OR(RIGHT(N25,4)="*0,5",RIGHT(N25,4)="*0,3"),0.5,1),""))</f>
        <v/>
      </c>
      <c r="EP79" s="88" t="str">
        <f t="shared" ref="EP79" si="2806">IF($T$5="",IF(RIGHT(O25,4)="*0,5",0.5,IF(RIGHT(O25,4)="*0,3",0.3,IF(EP26&lt;&gt;"",1,""))),IF(EP26&lt;&gt;"",IF(OR(RIGHT(O25,4)="*0,5",RIGHT(O25,4)="*0,3"),0.5,1),""))</f>
        <v/>
      </c>
      <c r="EQ79" s="88" t="str">
        <f t="shared" ref="EQ79" si="2807">IF($T$5="",IF(RIGHT(P25,4)="*0,5",0.5,IF(RIGHT(P25,4)="*0,3",0.3,IF(EQ26&lt;&gt;"",1,""))),IF(EQ26&lt;&gt;"",IF(OR(RIGHT(P25,4)="*0,5",RIGHT(P25,4)="*0,3"),0.5,1),""))</f>
        <v/>
      </c>
      <c r="ER79" s="88" t="str">
        <f t="shared" ref="ER79" si="2808">IF($T$5="",IF(RIGHT(Q25,4)="*0,5",0.5,IF(RIGHT(Q25,4)="*0,3",0.3,IF(ER26&lt;&gt;"",1,""))),IF(ER26&lt;&gt;"",IF(OR(RIGHT(Q25,4)="*0,5",RIGHT(Q25,4)="*0,3"),0.5,1),""))</f>
        <v/>
      </c>
      <c r="ES79" s="88" t="str">
        <f t="shared" ref="ES79" si="2809">IF($T$5="",IF(RIGHT(R25,4)="*0,5",0.5,IF(RIGHT(R25,4)="*0,3",0.3,IF(ES26&lt;&gt;"",1,""))),IF(ES26&lt;&gt;"",IF(OR(RIGHT(R25,4)="*0,5",RIGHT(R25,4)="*0,3"),0.5,1),""))</f>
        <v/>
      </c>
      <c r="ET79" s="88" t="str">
        <f t="shared" ref="ET79" si="2810">IF($T$5="",IF(RIGHT(S25,4)="*0,5",0.5,IF(RIGHT(S25,4)="*0,3",0.3,IF(ET26&lt;&gt;"",1,""))),IF(ET26&lt;&gt;"",IF(OR(RIGHT(S25,4)="*0,5",RIGHT(S25,4)="*0,3"),0.5,1),""))</f>
        <v/>
      </c>
      <c r="EU79" s="88" t="str">
        <f t="shared" ref="EU79" si="2811">IF($T$5="",IF(RIGHT(T25,4)="*0,5",0.5,IF(RIGHT(T25,4)="*0,3",0.3,IF(EU26&lt;&gt;"",1,""))),IF(EU26&lt;&gt;"",IF(OR(RIGHT(T25,4)="*0,5",RIGHT(T25,4)="*0,3"),0.5,1),""))</f>
        <v/>
      </c>
      <c r="EV79" s="88" t="str">
        <f t="shared" ref="EV79" si="2812">IF($T$5="",IF(RIGHT(U25,4)="*0,5",0.5,IF(RIGHT(U25,4)="*0,3",0.3,IF(EV26&lt;&gt;"",1,""))),IF(EV26&lt;&gt;"",IF(OR(RIGHT(U25,4)="*0,5",RIGHT(U25,4)="*0,3"),0.5,1),""))</f>
        <v/>
      </c>
      <c r="EW79" s="88" t="str">
        <f t="shared" ref="EW79" si="2813">IF($T$5="",IF(RIGHT(V25,4)="*0,5",0.5,IF(RIGHT(V25,4)="*0,3",0.3,IF(EW26&lt;&gt;"",1,""))),IF(EW26&lt;&gt;"",IF(OR(RIGHT(V25,4)="*0,5",RIGHT(V25,4)="*0,3"),0.5,1),""))</f>
        <v/>
      </c>
      <c r="EX79" s="88" t="str">
        <f t="shared" ref="EX79" si="2814">IF($T$5="",IF(RIGHT(W25,4)="*0,5",0.5,IF(RIGHT(W25,4)="*0,3",0.3,IF(EX26&lt;&gt;"",1,""))),IF(EX26&lt;&gt;"",IF(OR(RIGHT(W25,4)="*0,5",RIGHT(W25,4)="*0,3"),0.5,1),""))</f>
        <v/>
      </c>
      <c r="EY79" s="88" t="str">
        <f t="shared" ref="EY79" si="2815">IF($T$5="",IF(RIGHT(X25,4)="*0,5",0.5,IF(RIGHT(X25,4)="*0,3",0.3,IF(EY26&lt;&gt;"",1,""))),IF(EY26&lt;&gt;"",IF(OR(RIGHT(X25,4)="*0,5",RIGHT(X25,4)="*0,3"),0.5,1),""))</f>
        <v/>
      </c>
      <c r="EZ79" s="88" t="str">
        <f t="shared" ref="EZ79" si="2816">IF($T$5="",IF(RIGHT(Y25,4)="*0,5",0.5,IF(RIGHT(Y25,4)="*0,3",0.3,IF(EZ26&lt;&gt;"",1,""))),IF(EZ26&lt;&gt;"",IF(OR(RIGHT(Y25,4)="*0,5",RIGHT(Y25,4)="*0,3"),0.5,1),""))</f>
        <v/>
      </c>
      <c r="FA79" s="88" t="str">
        <f t="shared" ref="FA79" si="2817">IF($T$5="",IF(RIGHT(Z25,4)="*0,5",0.5,IF(RIGHT(Z25,4)="*0,3",0.3,IF(FA26&lt;&gt;"",1,""))),IF(FA26&lt;&gt;"",IF(OR(RIGHT(Z25,4)="*0,5",RIGHT(Z25,4)="*0,3"),0.5,1),""))</f>
        <v/>
      </c>
      <c r="FB79" s="88" t="str">
        <f t="shared" ref="FB79" si="2818">IF($T$5="",IF(RIGHT(AA25,4)="*0,5",0.5,IF(RIGHT(AA25,4)="*0,3",0.3,IF(FB26&lt;&gt;"",1,""))),IF(FB26&lt;&gt;"",IF(OR(RIGHT(AA25,4)="*0,5",RIGHT(AA25,4)="*0,3"),0.5,1),""))</f>
        <v/>
      </c>
      <c r="FC79" s="88" t="str">
        <f t="shared" ref="FC79" si="2819">IF($T$5="",IF(RIGHT(AB25,4)="*0,5",0.5,IF(RIGHT(AB25,4)="*0,3",0.3,IF(FC26&lt;&gt;"",1,""))),IF(FC26&lt;&gt;"",IF(OR(RIGHT(AB25,4)="*0,5",RIGHT(AB25,4)="*0,3"),0.5,1),""))</f>
        <v/>
      </c>
      <c r="FD79" s="88" t="str">
        <f t="shared" ref="FD79" si="2820">IF($T$5="",IF(RIGHT(AC25,4)="*0,5",0.5,IF(RIGHT(AC25,4)="*0,3",0.3,IF(FD26&lt;&gt;"",1,""))),IF(FD26&lt;&gt;"",IF(OR(RIGHT(AC25,4)="*0,5",RIGHT(AC25,4)="*0,3"),0.5,1),""))</f>
        <v/>
      </c>
      <c r="FE79" s="88" t="str">
        <f t="shared" ref="FE79" si="2821">IF($T$5="",IF(RIGHT(AD25,4)="*0,5",0.5,IF(RIGHT(AD25,4)="*0,3",0.3,IF(FE26&lt;&gt;"",1,""))),IF(FE26&lt;&gt;"",IF(OR(RIGHT(AD25,4)="*0,5",RIGHT(AD25,4)="*0,3"),0.5,1),""))</f>
        <v/>
      </c>
      <c r="FF79" s="88" t="str">
        <f t="shared" ref="FF79" si="2822">IF($T$5="",IF(RIGHT(AE25,4)="*0,5",0.5,IF(RIGHT(AE25,4)="*0,3",0.3,IF(FF26&lt;&gt;"",1,""))),IF(FF26&lt;&gt;"",IF(OR(RIGHT(AE25,4)="*0,5",RIGHT(AE25,4)="*0,3"),0.5,1),""))</f>
        <v/>
      </c>
      <c r="FG79" s="88" t="str">
        <f t="shared" ref="FG79" si="2823">IF($T$5="",IF(RIGHT(AF25,4)="*0,5",0.5,IF(RIGHT(AF25,4)="*0,3",0.3,IF(FG26&lt;&gt;"",1,""))),IF(FG26&lt;&gt;"",IF(OR(RIGHT(AF25,4)="*0,5",RIGHT(AF25,4)="*0,3"),0.5,1),""))</f>
        <v/>
      </c>
      <c r="FH79" s="88" t="str">
        <f t="shared" ref="FH79" si="2824">IF($T$5="",IF(RIGHT(AG25,4)="*0,5",0.5,IF(RIGHT(AG25,4)="*0,3",0.3,IF(FH26&lt;&gt;"",1,""))),IF(FH26&lt;&gt;"",IF(OR(RIGHT(AG25,4)="*0,5",RIGHT(AG25,4)="*0,3"),0.5,1),""))</f>
        <v/>
      </c>
      <c r="FI79" s="88" t="str">
        <f t="shared" ref="FI79" si="2825">IF($T$5="",IF(RIGHT(AH25,4)="*0,5",0.5,IF(RIGHT(AH25,4)="*0,3",0.3,IF(FI26&lt;&gt;"",1,""))),IF(FI26&lt;&gt;"",IF(OR(RIGHT(AH25,4)="*0,5",RIGHT(AH25,4)="*0,3"),0.5,1),""))</f>
        <v/>
      </c>
      <c r="FJ79" s="88" t="str">
        <f t="shared" ref="FJ79" si="2826">IF($T$5="",IF(RIGHT(AI25,4)="*0,5",0.5,IF(RIGHT(AI25,4)="*0,3",0.3,IF(FJ26&lt;&gt;"",1,""))),IF(FJ26&lt;&gt;"",IF(OR(RIGHT(AI25,4)="*0,5",RIGHT(AI25,4)="*0,3"),0.5,1),""))</f>
        <v/>
      </c>
      <c r="FK79" s="88" t="str">
        <f t="shared" ref="FK79" si="2827">IF($T$5="",IF(RIGHT(AJ25,4)="*0,5",0.5,IF(RIGHT(AJ25,4)="*0,3",0.3,IF(FK26&lt;&gt;"",1,""))),IF(FK26&lt;&gt;"",IF(OR(RIGHT(AJ25,4)="*0,5",RIGHT(AJ25,4)="*0,3"),0.5,1),""))</f>
        <v/>
      </c>
      <c r="FL79" s="88" t="str">
        <f t="shared" ref="FL79" si="2828">IF($T$5="",IF(RIGHT(AK25,4)="*0,5",0.5,IF(RIGHT(AK25,4)="*0,3",0.3,IF(FL26&lt;&gt;"",1,""))),IF(FL26&lt;&gt;"",IF(OR(RIGHT(AK25,4)="*0,5",RIGHT(AK25,4)="*0,3"),0.5,1),""))</f>
        <v/>
      </c>
      <c r="FM79" s="88" t="str">
        <f t="shared" ref="FM79" si="2829">IF($T$5="",IF(RIGHT(AL25,4)="*0,5",0.5,IF(RIGHT(AL25,4)="*0,3",0.3,IF(FM26&lt;&gt;"",1,""))),IF(FM26&lt;&gt;"",IF(OR(RIGHT(AL25,4)="*0,5",RIGHT(AL25,4)="*0,3"),0.5,1),""))</f>
        <v/>
      </c>
      <c r="FN79" s="88" t="str">
        <f t="shared" ref="FN79" si="2830">IF($T$5="",IF(RIGHT(AM25,4)="*0,5",0.5,IF(RIGHT(AM25,4)="*0,3",0.3,IF(FN26&lt;&gt;"",1,""))),IF(FN26&lt;&gt;"",IF(OR(RIGHT(AM25,4)="*0,5",RIGHT(AM25,4)="*0,3"),0.5,1),""))</f>
        <v/>
      </c>
      <c r="FR79" s="88" cm="1">
        <f t="array" ref="FR79">_xlfn.LET(_xlpm.rad,$FO78+1,_xlpm.typ,INDEX($E$20:$E$68,_xlpm.rad),_xlpm.kod,INDEX(J$19:J$68,_xlpm.rad),_xlpm.del,INDEX($F$19:$F$68,_xlpm.rad),IFERROR(IF(AND(_xlpm.typ="H",_xlpm.kod&lt;&gt;"",_xlpm.del&lt;&gt;"Hybrid - Thrust + 2 connections"),INDEX(Hyb_Tech,MATCH(_xlpm.kod,Hyb_Code,0)),FR$72),FR$72))</f>
        <v>1</v>
      </c>
      <c r="FS79" s="88" cm="1">
        <f t="array" ref="FS79">_xlfn.LET(_xlpm.rad,$FO78+1,_xlpm.typ,INDEX($E$20:$E$68,_xlpm.rad),_xlpm.kod,INDEX(K$19:K$68,_xlpm.rad),_xlpm.del,INDEX($F$19:$F$68,_xlpm.rad),IFERROR(IF(AND(_xlpm.typ="H",_xlpm.kod&lt;&gt;"",_xlpm.del&lt;&gt;"Hybrid - Thrust + 2 connections"),INDEX(Hyb_Tech,MATCH(_xlpm.kod,Hyb_Code,0)),FS$72),FS$72))</f>
        <v>2</v>
      </c>
      <c r="FT79" s="88" cm="1">
        <f t="array" ref="FT79">_xlfn.LET(_xlpm.rad,$FO78+1,_xlpm.typ,INDEX($E$20:$E$68,_xlpm.rad),_xlpm.kod,INDEX(L$19:L$68,_xlpm.rad),_xlpm.del,INDEX($F$19:$F$68,_xlpm.rad),IFERROR(IF(AND(_xlpm.typ="H",_xlpm.kod&lt;&gt;"",_xlpm.del&lt;&gt;"Hybrid - Thrust + 2 connections"),INDEX(Hyb_Tech,MATCH(_xlpm.kod,Hyb_Code,0)),FT$72),FT$72))</f>
        <v>3</v>
      </c>
      <c r="FU79" s="88" cm="1">
        <f t="array" ref="FU79">_xlfn.LET(_xlpm.rad,$FO78+1,_xlpm.typ,INDEX($E$20:$E$68,_xlpm.rad),_xlpm.kod,INDEX(M$19:M$68,_xlpm.rad),_xlpm.del,INDEX($F$19:$F$68,_xlpm.rad),IFERROR(IF(AND(_xlpm.typ="H",_xlpm.kod&lt;&gt;"",_xlpm.del&lt;&gt;"Hybrid - Thrust + 2 connections"),INDEX(Hyb_Tech,MATCH(_xlpm.kod,Hyb_Code,0)),FU$72),FU$72))</f>
        <v>4</v>
      </c>
      <c r="FV79" s="88" cm="1">
        <f t="array" ref="FV79">_xlfn.LET(_xlpm.rad,$FO78+1,_xlpm.typ,INDEX($E$20:$E$68,_xlpm.rad),_xlpm.kod,INDEX(N$19:N$68,_xlpm.rad),_xlpm.del,INDEX($F$19:$F$68,_xlpm.rad),IFERROR(IF(AND(_xlpm.typ="H",_xlpm.kod&lt;&gt;"",_xlpm.del&lt;&gt;"Hybrid - Thrust + 2 connections"),INDEX(Hyb_Tech,MATCH(_xlpm.kod,Hyb_Code,0)),FV$72),FV$72))</f>
        <v>5</v>
      </c>
      <c r="FW79" s="88" cm="1">
        <f t="array" ref="FW79">_xlfn.LET(_xlpm.rad,$FO78+1,_xlpm.typ,INDEX($E$20:$E$68,_xlpm.rad),_xlpm.kod,INDEX(O$19:O$68,_xlpm.rad),_xlpm.del,INDEX($F$19:$F$68,_xlpm.rad),IFERROR(IF(AND(_xlpm.typ="H",_xlpm.kod&lt;&gt;"",_xlpm.del&lt;&gt;"Hybrid - Thrust + 2 connections"),INDEX(Hyb_Tech,MATCH(_xlpm.kod,Hyb_Code,0)),FW$72),FW$72))</f>
        <v>6</v>
      </c>
      <c r="FX79" s="88" cm="1">
        <f t="array" ref="FX79">_xlfn.LET(_xlpm.rad,$FO78+1,_xlpm.typ,INDEX($E$20:$E$68,_xlpm.rad),_xlpm.kod,INDEX(P$19:P$68,_xlpm.rad),_xlpm.del,INDEX($F$19:$F$68,_xlpm.rad),IFERROR(IF(AND(_xlpm.typ="H",_xlpm.kod&lt;&gt;"",_xlpm.del&lt;&gt;"Hybrid - Thrust + 2 connections"),INDEX(Hyb_Tech,MATCH(_xlpm.kod,Hyb_Code,0)),FX$72),FX$72))</f>
        <v>7</v>
      </c>
      <c r="FY79" s="88" cm="1">
        <f t="array" ref="FY79">_xlfn.LET(_xlpm.rad,$FO78+1,_xlpm.typ,INDEX($E$20:$E$68,_xlpm.rad),_xlpm.kod,INDEX(Q$19:Q$68,_xlpm.rad),_xlpm.del,INDEX($F$19:$F$68,_xlpm.rad),IFERROR(IF(AND(_xlpm.typ="H",_xlpm.kod&lt;&gt;"",_xlpm.del&lt;&gt;"Hybrid - Thrust + 2 connections"),INDEX(Hyb_Tech,MATCH(_xlpm.kod,Hyb_Code,0)),FY$72),FY$72))</f>
        <v>8</v>
      </c>
      <c r="FZ79" s="88" cm="1">
        <f t="array" ref="FZ79">_xlfn.LET(_xlpm.rad,$FO78+1,_xlpm.typ,INDEX($E$20:$E$68,_xlpm.rad),_xlpm.kod,INDEX(R$19:R$68,_xlpm.rad),_xlpm.del,INDEX($F$19:$F$68,_xlpm.rad),IFERROR(IF(AND(_xlpm.typ="H",_xlpm.kod&lt;&gt;"",_xlpm.del&lt;&gt;"Hybrid - Thrust + 2 connections"),INDEX(Hyb_Tech,MATCH(_xlpm.kod,Hyb_Code,0)),FZ$72),FZ$72))</f>
        <v>9</v>
      </c>
      <c r="GA79" s="88" cm="1">
        <f t="array" ref="GA79">_xlfn.LET(_xlpm.rad,$FO78+1,_xlpm.typ,INDEX($E$20:$E$68,_xlpm.rad),_xlpm.kod,INDEX(S$19:S$68,_xlpm.rad),_xlpm.del,INDEX($F$19:$F$68,_xlpm.rad),IFERROR(IF(AND(_xlpm.typ="H",_xlpm.kod&lt;&gt;"",_xlpm.del&lt;&gt;"Hybrid - Thrust + 2 connections"),INDEX(Hyb_Tech,MATCH(_xlpm.kod,Hyb_Code,0)),GA$72),GA$72))</f>
        <v>10</v>
      </c>
      <c r="GB79" s="88" cm="1">
        <f t="array" ref="GB79">_xlfn.LET(_xlpm.rad,$FO78+1,_xlpm.typ,INDEX($E$20:$E$68,_xlpm.rad),_xlpm.kod,INDEX(T$19:T$68,_xlpm.rad),_xlpm.del,INDEX($F$19:$F$68,_xlpm.rad),IFERROR(IF(AND(_xlpm.typ="H",_xlpm.kod&lt;&gt;"",_xlpm.del&lt;&gt;"Hybrid - Thrust + 2 connections"),INDEX(Hyb_Tech,MATCH(_xlpm.kod,Hyb_Code,0)),GB$72),GB$72))</f>
        <v>11</v>
      </c>
      <c r="GC79" s="88" cm="1">
        <f t="array" ref="GC79">_xlfn.LET(_xlpm.rad,$FO78+1,_xlpm.typ,INDEX($E$20:$E$68,_xlpm.rad),_xlpm.kod,INDEX(U$19:U$68,_xlpm.rad),_xlpm.del,INDEX($F$19:$F$68,_xlpm.rad),IFERROR(IF(AND(_xlpm.typ="H",_xlpm.kod&lt;&gt;"",_xlpm.del&lt;&gt;"Hybrid - Thrust + 2 connections"),INDEX(Hyb_Tech,MATCH(_xlpm.kod,Hyb_Code,0)),GC$72),GC$72))</f>
        <v>12</v>
      </c>
      <c r="GD79" s="88" cm="1">
        <f t="array" ref="GD79">_xlfn.LET(_xlpm.rad,$FO78+1,_xlpm.typ,INDEX($E$20:$E$68,_xlpm.rad),_xlpm.kod,INDEX(V$19:V$68,_xlpm.rad),_xlpm.del,INDEX($F$19:$F$68,_xlpm.rad),IFERROR(IF(AND(_xlpm.typ="H",_xlpm.kod&lt;&gt;"",_xlpm.del&lt;&gt;"Hybrid - Thrust + 2 connections"),INDEX(Hyb_Tech,MATCH(_xlpm.kod,Hyb_Code,0)),GD$72),GD$72))</f>
        <v>13</v>
      </c>
      <c r="GE79" s="88" cm="1">
        <f t="array" ref="GE79">_xlfn.LET(_xlpm.rad,$FO78+1,_xlpm.typ,INDEX($E$20:$E$68,_xlpm.rad),_xlpm.kod,INDEX(W$19:W$68,_xlpm.rad),_xlpm.del,INDEX($F$19:$F$68,_xlpm.rad),IFERROR(IF(AND(_xlpm.typ="H",_xlpm.kod&lt;&gt;"",_xlpm.del&lt;&gt;"Hybrid - Thrust + 2 connections"),INDEX(Hyb_Tech,MATCH(_xlpm.kod,Hyb_Code,0)),GE$72),GE$72))</f>
        <v>14</v>
      </c>
      <c r="GF79" s="88" cm="1">
        <f t="array" ref="GF79">_xlfn.LET(_xlpm.rad,$FO78+1,_xlpm.typ,INDEX($E$20:$E$68,_xlpm.rad),_xlpm.kod,INDEX(X$19:X$68,_xlpm.rad),_xlpm.del,INDEX($F$19:$F$68,_xlpm.rad),IFERROR(IF(AND(_xlpm.typ="H",_xlpm.kod&lt;&gt;"",_xlpm.del&lt;&gt;"Hybrid - Thrust + 2 connections"),INDEX(Hyb_Tech,MATCH(_xlpm.kod,Hyb_Code,0)),GF$72),GF$72))</f>
        <v>15</v>
      </c>
      <c r="GG79" s="88" cm="1">
        <f t="array" ref="GG79">_xlfn.LET(_xlpm.rad,$FO78+1,_xlpm.typ,INDEX($E$20:$E$68,_xlpm.rad),_xlpm.kod,INDEX(Y$19:Y$68,_xlpm.rad),_xlpm.del,INDEX($F$19:$F$68,_xlpm.rad),IFERROR(IF(AND(_xlpm.typ="H",_xlpm.kod&lt;&gt;"",_xlpm.del&lt;&gt;"Hybrid - Thrust + 2 connections"),INDEX(Hyb_Tech,MATCH(_xlpm.kod,Hyb_Code,0)),GG$72),GG$72))</f>
        <v>16</v>
      </c>
      <c r="GH79" s="88" cm="1">
        <f t="array" ref="GH79">_xlfn.LET(_xlpm.rad,$FO78+1,_xlpm.typ,INDEX($E$20:$E$68,_xlpm.rad),_xlpm.kod,INDEX(Z$19:Z$68,_xlpm.rad),_xlpm.del,INDEX($F$19:$F$68,_xlpm.rad),IFERROR(IF(AND(_xlpm.typ="H",_xlpm.kod&lt;&gt;"",_xlpm.del&lt;&gt;"Hybrid - Thrust + 2 connections"),INDEX(Hyb_Tech,MATCH(_xlpm.kod,Hyb_Code,0)),GH$72),GH$72))</f>
        <v>17</v>
      </c>
      <c r="GI79" s="88" cm="1">
        <f t="array" ref="GI79">_xlfn.LET(_xlpm.rad,$FO78+1,_xlpm.typ,INDEX($E$20:$E$68,_xlpm.rad),_xlpm.kod,INDEX(AA$19:AA$68,_xlpm.rad),_xlpm.del,INDEX($F$19:$F$68,_xlpm.rad),IFERROR(IF(AND(_xlpm.typ="H",_xlpm.kod&lt;&gt;"",_xlpm.del&lt;&gt;"Hybrid - Thrust + 2 connections"),INDEX(Hyb_Tech,MATCH(_xlpm.kod,Hyb_Code,0)),GI$72),GI$72))</f>
        <v>18</v>
      </c>
      <c r="GJ79" s="88" cm="1">
        <f t="array" ref="GJ79">_xlfn.LET(_xlpm.rad,$FO78+1,_xlpm.typ,INDEX($E$20:$E$68,_xlpm.rad),_xlpm.kod,INDEX(AB$19:AB$68,_xlpm.rad),_xlpm.del,INDEX($F$19:$F$68,_xlpm.rad),IFERROR(IF(AND(_xlpm.typ="H",_xlpm.kod&lt;&gt;"",_xlpm.del&lt;&gt;"Hybrid - Thrust + 2 connections"),INDEX(Hyb_Tech,MATCH(_xlpm.kod,Hyb_Code,0)),GJ$72),GJ$72))</f>
        <v>19</v>
      </c>
      <c r="GK79" s="88" cm="1">
        <f t="array" ref="GK79">_xlfn.LET(_xlpm.rad,$FO78+1,_xlpm.typ,INDEX($E$20:$E$68,_xlpm.rad),_xlpm.kod,INDEX(AC$19:AC$68,_xlpm.rad),_xlpm.del,INDEX($F$19:$F$68,_xlpm.rad),IFERROR(IF(AND(_xlpm.typ="H",_xlpm.kod&lt;&gt;"",_xlpm.del&lt;&gt;"Hybrid - Thrust + 2 connections"),INDEX(Hyb_Tech,MATCH(_xlpm.kod,Hyb_Code,0)),GK$72),GK$72))</f>
        <v>20</v>
      </c>
      <c r="GL79" s="88" cm="1">
        <f t="array" ref="GL79">_xlfn.LET(_xlpm.rad,$FO78+1,_xlpm.typ,INDEX($E$20:$E$68,_xlpm.rad),_xlpm.kod,INDEX(AD$19:AD$68,_xlpm.rad),_xlpm.del,INDEX($F$19:$F$68,_xlpm.rad),IFERROR(IF(AND(_xlpm.typ="H",_xlpm.kod&lt;&gt;"",_xlpm.del&lt;&gt;"Hybrid - Thrust + 2 connections"),INDEX(Hyb_Tech,MATCH(_xlpm.kod,Hyb_Code,0)),GL$72),GL$72))</f>
        <v>21</v>
      </c>
      <c r="GM79" s="88" cm="1">
        <f t="array" ref="GM79">_xlfn.LET(_xlpm.rad,$FO78+1,_xlpm.typ,INDEX($E$20:$E$68,_xlpm.rad),_xlpm.kod,INDEX(AE$19:AE$68,_xlpm.rad),_xlpm.del,INDEX($F$19:$F$68,_xlpm.rad),IFERROR(IF(AND(_xlpm.typ="H",_xlpm.kod&lt;&gt;"",_xlpm.del&lt;&gt;"Hybrid - Thrust + 2 connections"),INDEX(Hyb_Tech,MATCH(_xlpm.kod,Hyb_Code,0)),GM$72),GM$72))</f>
        <v>22</v>
      </c>
      <c r="GN79" s="88" cm="1">
        <f t="array" ref="GN79">_xlfn.LET(_xlpm.rad,$FO78+1,_xlpm.typ,INDEX($E$20:$E$68,_xlpm.rad),_xlpm.kod,INDEX(AF$19:AF$68,_xlpm.rad),_xlpm.del,INDEX($F$19:$F$68,_xlpm.rad),IFERROR(IF(AND(_xlpm.typ="H",_xlpm.kod&lt;&gt;"",_xlpm.del&lt;&gt;"Hybrid - Thrust + 2 connections"),INDEX(Hyb_Tech,MATCH(_xlpm.kod,Hyb_Code,0)),GN$72),GN$72))</f>
        <v>23</v>
      </c>
      <c r="GO79" s="88" cm="1">
        <f t="array" ref="GO79">_xlfn.LET(_xlpm.rad,$FO78+1,_xlpm.typ,INDEX($E$20:$E$68,_xlpm.rad),_xlpm.kod,INDEX(AG$19:AG$68,_xlpm.rad),_xlpm.del,INDEX($F$19:$F$68,_xlpm.rad),IFERROR(IF(AND(_xlpm.typ="H",_xlpm.kod&lt;&gt;"",_xlpm.del&lt;&gt;"Hybrid - Thrust + 2 connections"),INDEX(Hyb_Tech,MATCH(_xlpm.kod,Hyb_Code,0)),GO$72),GO$72))</f>
        <v>24</v>
      </c>
      <c r="GP79" s="88" cm="1">
        <f t="array" ref="GP79">_xlfn.LET(_xlpm.rad,$FO78+1,_xlpm.typ,INDEX($E$20:$E$68,_xlpm.rad),_xlpm.kod,INDEX(AH$19:AH$68,_xlpm.rad),_xlpm.del,INDEX($F$19:$F$68,_xlpm.rad),IFERROR(IF(AND(_xlpm.typ="H",_xlpm.kod&lt;&gt;"",_xlpm.del&lt;&gt;"Hybrid - Thrust + 2 connections"),INDEX(Hyb_Tech,MATCH(_xlpm.kod,Hyb_Code,0)),GP$72),GP$72))</f>
        <v>25</v>
      </c>
      <c r="GQ79" s="88" cm="1">
        <f t="array" ref="GQ79">_xlfn.LET(_xlpm.rad,$FO78+1,_xlpm.typ,INDEX($E$20:$E$68,_xlpm.rad),_xlpm.kod,INDEX(AI$19:AI$68,_xlpm.rad),_xlpm.del,INDEX($F$19:$F$68,_xlpm.rad),IFERROR(IF(AND(_xlpm.typ="H",_xlpm.kod&lt;&gt;"",_xlpm.del&lt;&gt;"Hybrid - Thrust + 2 connections"),INDEX(Hyb_Tech,MATCH(_xlpm.kod,Hyb_Code,0)),GQ$72),GQ$72))</f>
        <v>26</v>
      </c>
      <c r="GR79" s="88" cm="1">
        <f t="array" ref="GR79">_xlfn.LET(_xlpm.rad,$FO78+1,_xlpm.typ,INDEX($E$20:$E$68,_xlpm.rad),_xlpm.kod,INDEX(AJ$19:AJ$68,_xlpm.rad),_xlpm.del,INDEX($F$19:$F$68,_xlpm.rad),IFERROR(IF(AND(_xlpm.typ="H",_xlpm.kod&lt;&gt;"",_xlpm.del&lt;&gt;"Hybrid - Thrust + 2 connections"),INDEX(Hyb_Tech,MATCH(_xlpm.kod,Hyb_Code,0)),GR$72),GR$72))</f>
        <v>27</v>
      </c>
      <c r="GS79" s="88" cm="1">
        <f t="array" ref="GS79">_xlfn.LET(_xlpm.rad,$FO78+1,_xlpm.typ,INDEX($E$20:$E$68,_xlpm.rad),_xlpm.kod,INDEX(AK$19:AK$68,_xlpm.rad),_xlpm.del,INDEX($F$19:$F$68,_xlpm.rad),IFERROR(IF(AND(_xlpm.typ="H",_xlpm.kod&lt;&gt;"",_xlpm.del&lt;&gt;"Hybrid - Thrust + 2 connections"),INDEX(Hyb_Tech,MATCH(_xlpm.kod,Hyb_Code,0)),GS$72),GS$72))</f>
        <v>28</v>
      </c>
      <c r="GT79" s="88" cm="1">
        <f t="array" ref="GT79">_xlfn.LET(_xlpm.rad,$FO78+1,_xlpm.typ,INDEX($E$20:$E$68,_xlpm.rad),_xlpm.kod,INDEX(AL$19:AL$68,_xlpm.rad),_xlpm.del,INDEX($F$19:$F$68,_xlpm.rad),IFERROR(IF(AND(_xlpm.typ="H",_xlpm.kod&lt;&gt;"",_xlpm.del&lt;&gt;"Hybrid - Thrust + 2 connections"),INDEX(Hyb_Tech,MATCH(_xlpm.kod,Hyb_Code,0)),GT$72),GT$72))</f>
        <v>29</v>
      </c>
      <c r="GU79" s="88" cm="1">
        <f t="array" ref="GU79">_xlfn.LET(_xlpm.rad,$FO78+1,_xlpm.typ,INDEX($E$20:$E$68,_xlpm.rad),_xlpm.kod,INDEX(AM$19:AM$68,_xlpm.rad),_xlpm.del,INDEX($F$19:$F$68,_xlpm.rad),IFERROR(IF(AND(_xlpm.typ="H",_xlpm.kod&lt;&gt;"",_xlpm.del&lt;&gt;"Hybrid - Thrust + 2 connections"),INDEX(Hyb_Tech,MATCH(_xlpm.kod,Hyb_Code,0)),GU$72),GU$72))</f>
        <v>30</v>
      </c>
    </row>
    <row r="80" spans="1:231" ht="12.75" customHeight="1" x14ac:dyDescent="0.35">
      <c r="G80" s="12"/>
      <c r="K80" s="14"/>
      <c r="N80" s="14"/>
      <c r="Q80" s="14"/>
      <c r="T80" s="14"/>
      <c r="W80" s="14"/>
      <c r="Z80" s="14"/>
      <c r="AC80" s="14"/>
      <c r="AF80" s="14"/>
      <c r="AI80" s="14"/>
      <c r="AJ80" s="91"/>
      <c r="AK80" s="91"/>
      <c r="AL80" s="88"/>
      <c r="CB80" s="88"/>
      <c r="CC80" s="88"/>
      <c r="CD80" s="88"/>
      <c r="CE80" s="88"/>
      <c r="CF80" s="88"/>
      <c r="CG80" s="88"/>
      <c r="CH80" s="88"/>
      <c r="CI80" s="88"/>
      <c r="CJ80" s="88"/>
      <c r="CK80" s="88"/>
      <c r="CL80" s="88"/>
      <c r="CM80" s="88"/>
      <c r="EO80" s="88"/>
      <c r="EP80" s="88"/>
      <c r="EQ80" s="88"/>
      <c r="ER80" s="88"/>
      <c r="ES80" s="88"/>
      <c r="ET80" s="88"/>
      <c r="EU80" s="88"/>
      <c r="EV80" s="88"/>
      <c r="EW80" s="88"/>
      <c r="EX80" s="88"/>
      <c r="EY80" s="88"/>
      <c r="EZ80" s="88"/>
      <c r="FA80" s="88"/>
      <c r="FB80" s="88"/>
      <c r="FC80" s="88"/>
      <c r="FD80" s="88"/>
      <c r="FE80" s="88"/>
      <c r="FF80" s="88"/>
      <c r="FG80" s="88"/>
      <c r="FH80" s="88"/>
      <c r="FI80" s="88"/>
      <c r="FJ80" s="88"/>
      <c r="FK80" s="88"/>
      <c r="FL80" s="88"/>
      <c r="FM80" s="88"/>
      <c r="FN80" s="88"/>
      <c r="FP80" s="91" t="str" cm="1">
        <f t="array" ref="FP80">IFERROR(IF($T$5="",IF(COUNTIF(FR80:GU80,1)&gt;$FP$18,INDEX($FR$73:$GU$170,$FO78*5/2+1,MATCH(1,FR80:GU80,0)),""),IF(SUM(FR80:GU80)&gt;2,INDEX($FR$73:$GU$170,$FO78*5/2+1,MATCH(1,FR80:GU80,0)),"")),"")</f>
        <v/>
      </c>
      <c r="FQ80" s="88" t="str" cm="1">
        <f t="array" ref="FQ80">IFERROR(IF(LEFT(FP80,1)="C",IF(RIGHT(FP80,1)="+",LEFT(FP80,LEN(FP80)-1),CONCATENATE(FP80,"+")),IF(SUM($FR80:$GU80)&gt;$FP$18,INDEX($FR$73:$GU$170,$FO78*5/2+1,MATCH(0.5,FR80:GU80,0)),"")),"")</f>
        <v/>
      </c>
      <c r="FR80" s="88" t="str">
        <f t="shared" ref="FR80:GU80" si="2831">IF(AND($BV$6="D",LEFT(FR78,1)="C"),IF(COUNTIF($FR79:$GU79,FR79)&gt;$FP$18,INDEX(Hyb_Tech_Value,MATCH(FR78,Hyb_Code,0)),""),IF(COUNTIF($FR79:$GU79,FR79)&gt;$FP$18,INDEX(Hyb_Tech_Value,MATCH(FR78,Hyb_Code,0)),""))</f>
        <v/>
      </c>
      <c r="FS80" s="88" t="str">
        <f t="shared" si="2831"/>
        <v/>
      </c>
      <c r="FT80" s="88" t="str">
        <f t="shared" si="2831"/>
        <v/>
      </c>
      <c r="FU80" s="88" t="str">
        <f t="shared" si="2831"/>
        <v/>
      </c>
      <c r="FV80" s="88" t="str">
        <f t="shared" si="2831"/>
        <v/>
      </c>
      <c r="FW80" s="88" t="str">
        <f t="shared" si="2831"/>
        <v/>
      </c>
      <c r="FX80" s="88" t="str">
        <f t="shared" si="2831"/>
        <v/>
      </c>
      <c r="FY80" s="88" t="str">
        <f t="shared" si="2831"/>
        <v/>
      </c>
      <c r="FZ80" s="88" t="str">
        <f t="shared" si="2831"/>
        <v/>
      </c>
      <c r="GA80" s="88" t="str">
        <f t="shared" si="2831"/>
        <v/>
      </c>
      <c r="GB80" s="88" t="str">
        <f t="shared" si="2831"/>
        <v/>
      </c>
      <c r="GC80" s="88" t="str">
        <f t="shared" si="2831"/>
        <v/>
      </c>
      <c r="GD80" s="88" t="str">
        <f t="shared" si="2831"/>
        <v/>
      </c>
      <c r="GE80" s="88" t="str">
        <f t="shared" si="2831"/>
        <v/>
      </c>
      <c r="GF80" s="88" t="str">
        <f t="shared" si="2831"/>
        <v/>
      </c>
      <c r="GG80" s="88" t="str">
        <f t="shared" si="2831"/>
        <v/>
      </c>
      <c r="GH80" s="88" t="str">
        <f t="shared" si="2831"/>
        <v/>
      </c>
      <c r="GI80" s="88" t="str">
        <f t="shared" si="2831"/>
        <v/>
      </c>
      <c r="GJ80" s="88" t="str">
        <f t="shared" si="2831"/>
        <v/>
      </c>
      <c r="GK80" s="88" t="str">
        <f t="shared" si="2831"/>
        <v/>
      </c>
      <c r="GL80" s="88" t="str">
        <f t="shared" si="2831"/>
        <v/>
      </c>
      <c r="GM80" s="88" t="str">
        <f t="shared" si="2831"/>
        <v/>
      </c>
      <c r="GN80" s="88" t="str">
        <f t="shared" si="2831"/>
        <v/>
      </c>
      <c r="GO80" s="88" t="str">
        <f t="shared" si="2831"/>
        <v/>
      </c>
      <c r="GP80" s="88" t="str">
        <f t="shared" si="2831"/>
        <v/>
      </c>
      <c r="GQ80" s="88" t="str">
        <f t="shared" si="2831"/>
        <v/>
      </c>
      <c r="GR80" s="88" t="str">
        <f t="shared" si="2831"/>
        <v/>
      </c>
      <c r="GS80" s="88" t="str">
        <f t="shared" si="2831"/>
        <v/>
      </c>
      <c r="GT80" s="88" t="str">
        <f t="shared" si="2831"/>
        <v/>
      </c>
      <c r="GU80" s="88" t="str">
        <f t="shared" si="2831"/>
        <v/>
      </c>
    </row>
    <row r="81" spans="5:203" ht="12.75" customHeight="1" x14ac:dyDescent="0.35">
      <c r="E81" s="20" t="str">
        <f>IF(G81&lt;&gt;"","Copy green area &gt;&gt;&gt;","")</f>
        <v/>
      </c>
      <c r="F81" s="60" t="s">
        <v>579</v>
      </c>
      <c r="G81" s="280" t="str">
        <f>IFERROR(IF($BV$8&lt;&gt;"T",IF(OR(INDEX($E$20:$E$68,MATCH(H78,$G$19:$G$67,0))="H",INDEX($E$20:$E$68,MATCH(H78,$G$19:$G$67,0))="T"),IF(INDEX($J$19:$J$68,MATCH(H78,$G$19:$G$67,0))="ChoHY","HC",INDEX($E$20:$E$68,MATCH(H78,$G$19:$G$67,0))),IF(INDEX($E$20:$E$68,MATCH(H78,$G$19:$G$67,0))=3,"T",IF(OR(INDEX($E$20:$E$68,MATCH(H78,$G$19:$G$67,0))="A",INDEX($E$20:$E$68,MATCH(H78,$G$19:$G$67,0))="B",INDEX($E$20:$E$68,MATCH(H78,$G$19:$G$67,0))="C",INDEX($E$20:$E$68,MATCH(H78,$G$19:$G$67,0))="P"),CONCATENATE("A",RIGHT(INDEX($H$20:$H$68,MATCH(H78,$G$19:$G$67,0)),1)),IF(INDEX($E$20:$E$68,MATCH(H78,$G$19:$G$67,0))="PA",IF(MID(INDEX($H$20:$H$68,MATCH(H78,$G$19:$G$67,0)),8,1)="W","AT",CONCATENATE("A",MID(INDEX($H$20:$H$68,MATCH(H78,$G$19:$G$67,0)),8,1))),"")))),""),"")</f>
        <v/>
      </c>
      <c r="H81" s="280" t="str">
        <f>IFERROR(IF($BV$8&lt;&gt;"T",IF(G81="HC",0,IF(OR(G81="H",LEFT(G81,1)="A"),IF($BV$6="D",IF(G81="H",0.5,0.1),0.5),"")),""),"")</f>
        <v/>
      </c>
      <c r="I81" s="281" t="str">
        <f>IFERROR(IF($BV$8&lt;&gt;"T",INDEX($AO$20:$AO$68,MATCH(H78,$G$19:$G$67,0)),""),"")</f>
        <v/>
      </c>
      <c r="J81" s="280" t="str">
        <f>IFERROR(IF($BV$8&lt;&gt;"T",IF(OR(INDEX($E$20:$E$68,MATCH(K78,$G$19:$G$67,0))="H",INDEX($E$20:$E$68,MATCH(K78,$G$19:$G$67,0))="T"),IF(INDEX($J$19:$J$68,MATCH(K78,$G$19:$G$67,0))="ChoHY","HC",INDEX($E$20:$E$68,MATCH(K78,$G$19:$G$67,0))),IF(INDEX($E$20:$E$68,MATCH(K78,$G$19:$G$67,0))=3,"T",IF(OR(INDEX($E$20:$E$68,MATCH(K78,$G$19:$G$67,0))="A",INDEX($E$20:$E$68,MATCH(K78,$G$19:$G$67,0))="B",INDEX($E$20:$E$68,MATCH(K78,$G$19:$G$67,0))="C",INDEX($E$20:$E$68,MATCH(K78,$G$19:$G$67,0))="P"),CONCATENATE("A",RIGHT(INDEX($H$20:$H$68,MATCH(K78,$G$19:$G$67,0)),1)),IF(INDEX($E$20:$E$68,MATCH(K78,$G$19:$G$67,0))="PA",IF(MID(INDEX($H$20:$H$68,MATCH(K78,$G$19:$G$67,0)),8,1)="W","AT",CONCATENATE("A",MID(INDEX($H$20:$H$68,MATCH(K78,$G$19:$G$67,0)),8,1))),"")))),""),"")</f>
        <v/>
      </c>
      <c r="K81" s="280" t="str">
        <f>IFERROR(IF($BV$8&lt;&gt;"T",IF(J81="HC",0,IF(OR(J81="H",LEFT(J81,1)="A"),IF($BV$6="D",IF(J81="H",0.5,0.1),0.5),"")),""),"")</f>
        <v/>
      </c>
      <c r="L81" s="281" t="str">
        <f>IFERROR(IF($BV$8&lt;&gt;"T",INDEX($AO$20:$AO$68,MATCH(K78,$G$19:$G$67,0)),""),"")</f>
        <v/>
      </c>
      <c r="M81" s="280" t="str">
        <f>IFERROR(IF($BV$8&lt;&gt;"T",IF(OR(INDEX($E$20:$E$68,MATCH(N78,$G$19:$G$67,0))="H",INDEX($E$20:$E$68,MATCH(N78,$G$19:$G$67,0))="T"),IF(INDEX($J$19:$J$68,MATCH(N78,$G$19:$G$67,0))="ChoHY","HC",INDEX($E$20:$E$68,MATCH(N78,$G$19:$G$67,0))),IF(INDEX($E$20:$E$68,MATCH(N78,$G$19:$G$67,0))=3,"T",IF(OR(INDEX($E$20:$E$68,MATCH(N78,$G$19:$G$67,0))="A",INDEX($E$20:$E$68,MATCH(N78,$G$19:$G$67,0))="B",INDEX($E$20:$E$68,MATCH(N78,$G$19:$G$67,0))="C",INDEX($E$20:$E$68,MATCH(N78,$G$19:$G$67,0))="P"),CONCATENATE("A",RIGHT(INDEX($H$20:$H$68,MATCH(N78,$G$19:$G$67,0)),1)),IF(INDEX($E$20:$E$68,MATCH(N78,$G$19:$G$67,0))="PA",IF(MID(INDEX($H$20:$H$68,MATCH(N78,$G$19:$G$67,0)),8,1)="W","AT",CONCATENATE("A",MID(INDEX($H$20:$H$68,MATCH(N78,$G$19:$G$67,0)),8,1))),"")))),""),"")</f>
        <v/>
      </c>
      <c r="N81" s="280" t="str">
        <f>IFERROR(IF($BV$8&lt;&gt;"T",IF(M81="HC",0,IF(OR(M81="H",LEFT(M81,1)="A"),IF($BV$6="D",IF(M81="H",0.5,0.1),0.5),"")),""),"")</f>
        <v/>
      </c>
      <c r="O81" s="281" t="str">
        <f>IFERROR(IF($BV$8&lt;&gt;"T",INDEX($AO$20:$AO$68,MATCH(N78,$G$19:$G$67,0)),""),"")</f>
        <v/>
      </c>
      <c r="P81" s="280" t="str">
        <f>IFERROR(IF($BV$8&lt;&gt;"T",IF(OR(INDEX($E$20:$E$68,MATCH(Q78,$G$19:$G$67,0))="H",INDEX($E$20:$E$68,MATCH(Q78,$G$19:$G$67,0))="T"),IF(INDEX($J$19:$J$68,MATCH(Q78,$G$19:$G$67,0))="ChoHY","HC",INDEX($E$20:$E$68,MATCH(Q78,$G$19:$G$67,0))),IF(INDEX($E$20:$E$68,MATCH(Q78,$G$19:$G$67,0))=3,"T",IF(OR(INDEX($E$20:$E$68,MATCH(Q78,$G$19:$G$67,0))="A",INDEX($E$20:$E$68,MATCH(Q78,$G$19:$G$67,0))="B",INDEX($E$20:$E$68,MATCH(Q78,$G$19:$G$67,0))="C",INDEX($E$20:$E$68,MATCH(Q78,$G$19:$G$67,0))="P"),CONCATENATE("A",RIGHT(INDEX($H$20:$H$68,MATCH(Q78,$G$19:$G$67,0)),1)),IF(INDEX($E$20:$E$68,MATCH(Q78,$G$19:$G$67,0))="PA",IF(MID(INDEX($H$20:$H$68,MATCH(Q78,$G$19:$G$67,0)),8,1)="W","AT",CONCATENATE("A",MID(INDEX($H$20:$H$68,MATCH(Q78,$G$19:$G$67,0)),8,1))),"")))),""),"")</f>
        <v/>
      </c>
      <c r="Q81" s="280" t="str">
        <f>IFERROR(IF($BV$8&lt;&gt;"T",IF(P81="HC",0,IF(OR(P81="H",LEFT(P81,1)="A"),IF($BV$6="D",IF(P81="H",0.5,0.1),0.5),"")),""),"")</f>
        <v/>
      </c>
      <c r="R81" s="281" t="str">
        <f>IFERROR(IF($BV$8&lt;&gt;"T",INDEX($AO$20:$AO$68,MATCH(Q78,$G$19:$G$67,0)),""),"")</f>
        <v/>
      </c>
      <c r="S81" s="280" t="str">
        <f>IFERROR(IF($BV$8&lt;&gt;"T",IF(OR(INDEX($E$20:$E$68,MATCH(T78,$G$19:$G$67,0))="H",INDEX($E$20:$E$68,MATCH(T78,$G$19:$G$67,0))="T"),IF(INDEX($J$19:$J$68,MATCH(T78,$G$19:$G$67,0))="ChoHY","HC",INDEX($E$20:$E$68,MATCH(T78,$G$19:$G$67,0))),IF(INDEX($E$20:$E$68,MATCH(T78,$G$19:$G$67,0))=3,"T",IF(OR(INDEX($E$20:$E$68,MATCH(T78,$G$19:$G$67,0))="A",INDEX($E$20:$E$68,MATCH(T78,$G$19:$G$67,0))="B",INDEX($E$20:$E$68,MATCH(T78,$G$19:$G$67,0))="C",INDEX($E$20:$E$68,MATCH(T78,$G$19:$G$67,0))="P"),CONCATENATE("A",RIGHT(INDEX($H$20:$H$68,MATCH(T78,$G$19:$G$67,0)),1)),IF(INDEX($E$20:$E$68,MATCH(T78,$G$19:$G$67,0))="PA",IF(MID(INDEX($H$20:$H$68,MATCH(T78,$G$19:$G$67,0)),8,1)="W","AT",CONCATENATE("A",MID(INDEX($H$20:$H$68,MATCH(T78,$G$19:$G$67,0)),8,1))),"")))),""),"")</f>
        <v/>
      </c>
      <c r="T81" s="280" t="str">
        <f>IFERROR(IF($BV$8&lt;&gt;"T",IF(S81="HC",0,IF(OR(S81="H",LEFT(S81,1)="A"),IF($BV$6="D",IF(S81="H",0.5,0.1),0.5),"")),""),"")</f>
        <v/>
      </c>
      <c r="U81" s="281" t="str">
        <f>IFERROR(IF($BV$8&lt;&gt;"T",INDEX($AO$20:$AO$68,MATCH(T78,$G$19:$G$67,0)),""),"")</f>
        <v/>
      </c>
      <c r="V81" s="280" t="str">
        <f>IFERROR(IF($BV$8&lt;&gt;"T",IF(OR(INDEX($E$20:$E$68,MATCH(W78,$G$19:$G$67,0))="H",INDEX($E$20:$E$68,MATCH(W78,$G$19:$G$67,0))="T"),IF(INDEX($J$19:$J$68,MATCH(W78,$G$19:$G$67,0))="ChoHY","HC",INDEX($E$20:$E$68,MATCH(W78,$G$19:$G$67,0))),IF(INDEX($E$20:$E$68,MATCH(W78,$G$19:$G$67,0))=3,"T",IF(OR(INDEX($E$20:$E$68,MATCH(W78,$G$19:$G$67,0))="A",INDEX($E$20:$E$68,MATCH(W78,$G$19:$G$67,0))="B",INDEX($E$20:$E$68,MATCH(W78,$G$19:$G$67,0))="C",INDEX($E$20:$E$68,MATCH(W78,$G$19:$G$67,0))="P"),CONCATENATE("A",RIGHT(INDEX($H$20:$H$68,MATCH(W78,$G$19:$G$67,0)),1)),IF(INDEX($E$20:$E$68,MATCH(W78,$G$19:$G$67,0))="PA",IF(MID(INDEX($H$20:$H$68,MATCH(W78,$G$19:$G$67,0)),8,1)="W","AT",CONCATENATE("A",MID(INDEX($H$20:$H$68,MATCH(W78,$G$19:$G$67,0)),8,1))),"")))),""),"")</f>
        <v/>
      </c>
      <c r="W81" s="280" t="str">
        <f>IFERROR(IF($BV$8&lt;&gt;"T",IF(V81="HC",0,IF(OR(V81="H",LEFT(V81,1)="A"),IF($BV$6="D",IF(V81="H",0.5,0.1),0.5),"")),""),"")</f>
        <v/>
      </c>
      <c r="X81" s="281" t="str">
        <f>IFERROR(IF($BV$8&lt;&gt;"T",INDEX($AO$20:$AO$68,MATCH(W78,$G$19:$G$67,0)),""),"")</f>
        <v/>
      </c>
      <c r="Y81" s="280" t="str">
        <f>IFERROR(IF($BV$8&lt;&gt;"T",IF(OR(INDEX($E$20:$E$68,MATCH(Z78,$G$19:$G$67,0))="H",INDEX($E$20:$E$68,MATCH(Z78,$G$19:$G$67,0))="T"),IF(INDEX($J$19:$J$68,MATCH(Z78,$G$19:$G$67,0))="ChoHY","HC",INDEX($E$20:$E$68,MATCH(Z78,$G$19:$G$67,0))),IF(INDEX($E$20:$E$68,MATCH(Z78,$G$19:$G$67,0))=3,"T",IF(OR(INDEX($E$20:$E$68,MATCH(Z78,$G$19:$G$67,0))="A",INDEX($E$20:$E$68,MATCH(Z78,$G$19:$G$67,0))="B",INDEX($E$20:$E$68,MATCH(Z78,$G$19:$G$67,0))="C",INDEX($E$20:$E$68,MATCH(Z78,$G$19:$G$67,0))="P"),CONCATENATE("A",RIGHT(INDEX($H$20:$H$68,MATCH(Z78,$G$19:$G$67,0)),1)),IF(INDEX($E$20:$E$68,MATCH(Z78,$G$19:$G$67,0))="PA",IF(MID(INDEX($H$20:$H$68,MATCH(Z78,$G$19:$G$67,0)),8,1)="W","AT",CONCATENATE("A",MID(INDEX($H$20:$H$68,MATCH(Z78,$G$19:$G$67,0)),8,1))),"")))),""),"")</f>
        <v/>
      </c>
      <c r="Z81" s="280" t="str">
        <f>IFERROR(IF($BV$8&lt;&gt;"T",IF(Y81="HC",0,IF(OR(Y81="H",LEFT(Y81,1)="A"),IF($BV$6="D",IF(Y81="H",0.5,0.1),0.5),"")),""),"")</f>
        <v/>
      </c>
      <c r="AA81" s="281" t="str">
        <f>IFERROR(IF($BV$8&lt;&gt;"T",INDEX($AO$20:$AO$68,MATCH(Z78,$G$19:$G$67,0)),""),"")</f>
        <v/>
      </c>
      <c r="AB81" s="280" t="str">
        <f>IFERROR(IF($BV$8&lt;&gt;"T",IF(OR(INDEX($E$20:$E$68,MATCH(AC78,$G$19:$G$67,0))="H",INDEX($E$20:$E$68,MATCH(AC78,$G$19:$G$67,0))="T"),IF(INDEX($J$19:$J$68,MATCH(AC78,$G$19:$G$67,0))="ChoHY","HC",INDEX($E$20:$E$68,MATCH(AC78,$G$19:$G$67,0))),IF(INDEX($E$20:$E$68,MATCH(AC78,$G$19:$G$67,0))=3,"T",IF(OR(INDEX($E$20:$E$68,MATCH(AC78,$G$19:$G$67,0))="A",INDEX($E$20:$E$68,MATCH(AC78,$G$19:$G$67,0))="B",INDEX($E$20:$E$68,MATCH(AC78,$G$19:$G$67,0))="C",INDEX($E$20:$E$68,MATCH(AC78,$G$19:$G$67,0))="P"),CONCATENATE("A",RIGHT(INDEX($H$20:$H$68,MATCH(AC78,$G$19:$G$67,0)),1)),IF(INDEX($E$20:$E$68,MATCH(AC78,$G$19:$G$67,0))="PA",IF(MID(INDEX($H$20:$H$68,MATCH(AC78,$G$19:$G$67,0)),8,1)="W","AT",CONCATENATE("A",MID(INDEX($H$20:$H$68,MATCH(AC78,$G$19:$G$67,0)),8,1))),"")))),""),"")</f>
        <v/>
      </c>
      <c r="AC81" s="280" t="str">
        <f>IFERROR(IF($BV$8&lt;&gt;"T",IF(AB81="HC",0,IF(OR(AB81="H",LEFT(AB81,1)="A"),IF($BV$6="D",IF(AB81="H",0.5,0.1),0.5),"")),""),"")</f>
        <v/>
      </c>
      <c r="AD81" s="281" t="str">
        <f>IFERROR(IF($BV$8&lt;&gt;"T",INDEX($AO$20:$AO$68,MATCH(AC78,$G$19:$G$67,0)),""),"")</f>
        <v/>
      </c>
      <c r="AE81" s="280" t="str">
        <f>IFERROR(IF($BV$8&lt;&gt;"T",IF(OR(INDEX($E$20:$E$68,MATCH(AF78,$G$19:$G$67,0))="H",INDEX($E$20:$E$68,MATCH(AF78,$G$19:$G$67,0))="T"),IF(INDEX($J$19:$J$68,MATCH(AF78,$G$19:$G$67,0))="ChoHY","HC",INDEX($E$20:$E$68,MATCH(AF78,$G$19:$G$67,0))),IF(INDEX($E$20:$E$68,MATCH(AF78,$G$19:$G$67,0))=3,"T",IF(OR(INDEX($E$20:$E$68,MATCH(AF78,$G$19:$G$67,0))="A",INDEX($E$20:$E$68,MATCH(AF78,$G$19:$G$67,0))="B",INDEX($E$20:$E$68,MATCH(AF78,$G$19:$G$67,0))="C",INDEX($E$20:$E$68,MATCH(AF78,$G$19:$G$67,0))="P"),CONCATENATE("A",RIGHT(INDEX($H$20:$H$68,MATCH(AF78,$G$19:$G$67,0)),1)),IF(INDEX($E$20:$E$68,MATCH(AF78,$G$19:$G$67,0))="PA",IF(MID(INDEX($H$20:$H$68,MATCH(AF78,$G$19:$G$67,0)),8,1)="W","AT",CONCATENATE("A",MID(INDEX($H$20:$H$68,MATCH(AF78,$G$19:$G$67,0)),8,1))),"")))),""),"")</f>
        <v/>
      </c>
      <c r="AF81" s="280" t="str">
        <f>IFERROR(IF($BV$8&lt;&gt;"T",IF(AE81="HC",0,IF(OR(AE81="H",LEFT(AE81,1)="A"),IF($BV$6="D",IF(AE81="H",0.5,0.1),0.5),"")),""),"")</f>
        <v/>
      </c>
      <c r="AG81" s="281" t="str">
        <f>IFERROR(IF($BV$8&lt;&gt;"T",INDEX($AO$20:$AO$68,MATCH(AF78,$G$19:$G$67,0)),""),"")</f>
        <v/>
      </c>
      <c r="AH81" s="280" t="str">
        <f>IFERROR(IF($BV$8&lt;&gt;"T",IF(OR(INDEX($E$20:$E$68,MATCH(AI78,$G$19:$G$67,0))="H",INDEX($E$20:$E$68,MATCH(AI78,$G$19:$G$67,0))="T"),IF(INDEX($J$19:$J$68,MATCH(AI78,$G$19:$G$67,0))="ChoHY","HC",INDEX($E$20:$E$68,MATCH(AI78,$G$19:$G$67,0))),IF(INDEX($E$20:$E$68,MATCH(AI78,$G$19:$G$67,0))=3,"T",IF(OR(INDEX($E$20:$E$68,MATCH(AI78,$G$19:$G$67,0))="A",INDEX($E$20:$E$68,MATCH(AI78,$G$19:$G$67,0))="B",INDEX($E$20:$E$68,MATCH(AI78,$G$19:$G$67,0))="C",INDEX($E$20:$E$68,MATCH(AI78,$G$19:$G$67,0))="P"),CONCATENATE("A",RIGHT(INDEX($H$20:$H$68,MATCH(AI78,$G$19:$G$67,0)),1)),IF(INDEX($E$20:$E$68,MATCH(AI78,$G$19:$G$67,0))="PA",IF(MID(INDEX($H$20:$H$68,MATCH(AI78,$G$19:$G$67,0)),8,1)="W","AT",CONCATENATE("A",MID(INDEX($H$20:$H$68,MATCH(AI78,$G$19:$G$67,0)),8,1))),"")))),""),"")</f>
        <v/>
      </c>
      <c r="AI81" s="280" t="str">
        <f>IFERROR(IF($BV$8&lt;&gt;"T",IF(AH81="HC",0,IF(OR(AH81="H",LEFT(AH81,1)="A"),IF($BV$6="D",IF(AH81="H",0.5,0.1),0.5),"")),""),"")</f>
        <v/>
      </c>
      <c r="AJ81" s="282" t="str">
        <f>IFERROR(IF($BV$8&lt;&gt;"T",INDEX($AO$20:$AO$68,MATCH(AI78,$G$19:$G$67,0)),""),"")</f>
        <v/>
      </c>
      <c r="AK81" s="283" t="str">
        <f>IFERROR(IF($BV$8&lt;&gt;"T",IF(OR(INDEX($E$20:$E$68,MATCH(AL78,$G$19:$G$67,0))="H",INDEX($E$20:$E$68,MATCH(AL78,$G$19:$G$67,0))="T"),IF(INDEX($J$19:$J$68,MATCH(AL78,$G$19:$G$67,0))="ChoHY","HC",INDEX($E$20:$E$68,MATCH(AL78,$G$19:$G$67,0))),IF(INDEX($E$20:$E$68,MATCH(AL78,$G$19:$G$67,0))=3,"T",IF(OR(INDEX($E$20:$E$68,MATCH(AL78,$G$19:$G$67,0))="A",INDEX($E$20:$E$68,MATCH(AL78,$G$19:$G$67,0))="B",INDEX($E$20:$E$68,MATCH(AL78,$G$19:$G$67,0))="C",INDEX($E$20:$E$68,MATCH(AL78,$G$19:$G$67,0))="P"),CONCATENATE("A",RIGHT(INDEX($H$20:$H$68,MATCH(AL78,$G$19:$G$67,0)),1)),IF(INDEX($E$20:$E$68,MATCH(AL78,$G$19:$G$67,0))="PA",IF(MID(INDEX($H$20:$H$68,MATCH(AL78,$G$19:$G$67,0)),8,1)="W","AT",CONCATENATE("A",MID(INDEX($H$20:$H$68,MATCH(AL78,$G$19:$G$67,0)),8,1))),"")))),""),"")</f>
        <v/>
      </c>
      <c r="AL81" s="283" t="str">
        <f>IFERROR(IF($BV$8&lt;&gt;"T",IF(AK81="HC",0,IF(OR(AK81="H",LEFT(AK81,1)="A"),IF($BV$6="D",IF(AK81="H",0.5,0.1),0.5),"")),""),"")</f>
        <v/>
      </c>
      <c r="AM81" s="282" t="str">
        <f>IFERROR(IF($BV$8&lt;&gt;"T",INDEX($AO$20:$AO$68,MATCH(AL78,$G$19:$G$67,0)),""),"")</f>
        <v/>
      </c>
      <c r="CB81" s="88"/>
      <c r="CC81" s="88"/>
      <c r="CD81" s="88"/>
      <c r="CE81" s="88"/>
      <c r="CF81" s="88"/>
      <c r="CG81" s="88"/>
      <c r="CH81" s="88"/>
      <c r="CI81" s="88"/>
      <c r="CJ81" s="88"/>
      <c r="CK81" s="88"/>
      <c r="CL81" s="88"/>
      <c r="CM81" s="88"/>
      <c r="EG81" s="88">
        <f t="shared" ref="EG81" si="2832">COUNTIF(EK81:FN81,0.3)</f>
        <v>0</v>
      </c>
      <c r="EH81" s="88">
        <f t="shared" ref="EH81" si="2833">COUNTIF(EK81:FN81,0.5)</f>
        <v>0</v>
      </c>
      <c r="EI81" s="88" t="str">
        <f t="shared" ref="EI81" si="2834">IF(AND(T13="",OR(EG81&gt;5,EH81&gt;5)),"X",IF(SUM(EK81:FN81)&gt;5,"X",""))</f>
        <v/>
      </c>
      <c r="EK81" s="88" t="str">
        <f t="shared" ref="EK81" si="2835">IF($T$5="",IF(RIGHT(J27,4)="*0,5",0.5,IF(RIGHT(J27,4)="*0,3",0.3,IF(EK28&lt;&gt;"",1,""))),IF(EK28&lt;&gt;"",IF(OR(RIGHT(J27,4)="*0,5",RIGHT(J27,4)="*0,3"),0.5,1),""))</f>
        <v/>
      </c>
      <c r="EL81" s="88" t="str">
        <f t="shared" ref="EL81" si="2836">IF($T$5="",IF(RIGHT(K27,4)="*0,5",0.5,IF(RIGHT(K27,4)="*0,3",0.3,IF(EL28&lt;&gt;"",1,""))),IF(EL28&lt;&gt;"",IF(OR(RIGHT(K27,4)="*0,5",RIGHT(K27,4)="*0,3"),0.5,1),""))</f>
        <v/>
      </c>
      <c r="EM81" s="88" t="str">
        <f t="shared" ref="EM81" si="2837">IF($T$5="",IF(RIGHT(L27,4)="*0,5",0.5,IF(RIGHT(L27,4)="*0,3",0.3,IF(EM28&lt;&gt;"",1,""))),IF(EM28&lt;&gt;"",IF(OR(RIGHT(L27,4)="*0,5",RIGHT(L27,4)="*0,3"),0.5,1),""))</f>
        <v/>
      </c>
      <c r="EN81" s="88" t="str">
        <f t="shared" ref="EN81" si="2838">IF($T$5="",IF(RIGHT(M27,4)="*0,5",0.5,IF(RIGHT(M27,4)="*0,3",0.3,IF(EN28&lt;&gt;"",1,""))),IF(EN28&lt;&gt;"",IF(OR(RIGHT(M27,4)="*0,5",RIGHT(M27,4)="*0,3"),0.5,1),""))</f>
        <v/>
      </c>
      <c r="EO81" s="88" t="str">
        <f t="shared" ref="EO81" si="2839">IF($T$5="",IF(RIGHT(N27,4)="*0,5",0.5,IF(RIGHT(N27,4)="*0,3",0.3,IF(EO28&lt;&gt;"",1,""))),IF(EO28&lt;&gt;"",IF(OR(RIGHT(N27,4)="*0,5",RIGHT(N27,4)="*0,3"),0.5,1),""))</f>
        <v/>
      </c>
      <c r="EP81" s="88" t="str">
        <f t="shared" ref="EP81" si="2840">IF($T$5="",IF(RIGHT(O27,4)="*0,5",0.5,IF(RIGHT(O27,4)="*0,3",0.3,IF(EP28&lt;&gt;"",1,""))),IF(EP28&lt;&gt;"",IF(OR(RIGHT(O27,4)="*0,5",RIGHT(O27,4)="*0,3"),0.5,1),""))</f>
        <v/>
      </c>
      <c r="EQ81" s="88" t="str">
        <f t="shared" ref="EQ81" si="2841">IF($T$5="",IF(RIGHT(P27,4)="*0,5",0.5,IF(RIGHT(P27,4)="*0,3",0.3,IF(EQ28&lt;&gt;"",1,""))),IF(EQ28&lt;&gt;"",IF(OR(RIGHT(P27,4)="*0,5",RIGHT(P27,4)="*0,3"),0.5,1),""))</f>
        <v/>
      </c>
      <c r="ER81" s="88" t="str">
        <f t="shared" ref="ER81" si="2842">IF($T$5="",IF(RIGHT(Q27,4)="*0,5",0.5,IF(RIGHT(Q27,4)="*0,3",0.3,IF(ER28&lt;&gt;"",1,""))),IF(ER28&lt;&gt;"",IF(OR(RIGHT(Q27,4)="*0,5",RIGHT(Q27,4)="*0,3"),0.5,1),""))</f>
        <v/>
      </c>
      <c r="ES81" s="88" t="str">
        <f t="shared" ref="ES81" si="2843">IF($T$5="",IF(RIGHT(R27,4)="*0,5",0.5,IF(RIGHT(R27,4)="*0,3",0.3,IF(ES28&lt;&gt;"",1,""))),IF(ES28&lt;&gt;"",IF(OR(RIGHT(R27,4)="*0,5",RIGHT(R27,4)="*0,3"),0.5,1),""))</f>
        <v/>
      </c>
      <c r="ET81" s="88" t="str">
        <f t="shared" ref="ET81" si="2844">IF($T$5="",IF(RIGHT(S27,4)="*0,5",0.5,IF(RIGHT(S27,4)="*0,3",0.3,IF(ET28&lt;&gt;"",1,""))),IF(ET28&lt;&gt;"",IF(OR(RIGHT(S27,4)="*0,5",RIGHT(S27,4)="*0,3"),0.5,1),""))</f>
        <v/>
      </c>
      <c r="EU81" s="88" t="str">
        <f t="shared" ref="EU81" si="2845">IF($T$5="",IF(RIGHT(T27,4)="*0,5",0.5,IF(RIGHT(T27,4)="*0,3",0.3,IF(EU28&lt;&gt;"",1,""))),IF(EU28&lt;&gt;"",IF(OR(RIGHT(T27,4)="*0,5",RIGHT(T27,4)="*0,3"),0.5,1),""))</f>
        <v/>
      </c>
      <c r="EV81" s="88" t="str">
        <f t="shared" ref="EV81" si="2846">IF($T$5="",IF(RIGHT(U27,4)="*0,5",0.5,IF(RIGHT(U27,4)="*0,3",0.3,IF(EV28&lt;&gt;"",1,""))),IF(EV28&lt;&gt;"",IF(OR(RIGHT(U27,4)="*0,5",RIGHT(U27,4)="*0,3"),0.5,1),""))</f>
        <v/>
      </c>
      <c r="EW81" s="88" t="str">
        <f t="shared" ref="EW81" si="2847">IF($T$5="",IF(RIGHT(V27,4)="*0,5",0.5,IF(RIGHT(V27,4)="*0,3",0.3,IF(EW28&lt;&gt;"",1,""))),IF(EW28&lt;&gt;"",IF(OR(RIGHT(V27,4)="*0,5",RIGHT(V27,4)="*0,3"),0.5,1),""))</f>
        <v/>
      </c>
      <c r="EX81" s="88" t="str">
        <f t="shared" ref="EX81" si="2848">IF($T$5="",IF(RIGHT(W27,4)="*0,5",0.5,IF(RIGHT(W27,4)="*0,3",0.3,IF(EX28&lt;&gt;"",1,""))),IF(EX28&lt;&gt;"",IF(OR(RIGHT(W27,4)="*0,5",RIGHT(W27,4)="*0,3"),0.5,1),""))</f>
        <v/>
      </c>
      <c r="EY81" s="88" t="str">
        <f t="shared" ref="EY81" si="2849">IF($T$5="",IF(RIGHT(X27,4)="*0,5",0.5,IF(RIGHT(X27,4)="*0,3",0.3,IF(EY28&lt;&gt;"",1,""))),IF(EY28&lt;&gt;"",IF(OR(RIGHT(X27,4)="*0,5",RIGHT(X27,4)="*0,3"),0.5,1),""))</f>
        <v/>
      </c>
      <c r="EZ81" s="88" t="str">
        <f t="shared" ref="EZ81" si="2850">IF($T$5="",IF(RIGHT(Y27,4)="*0,5",0.5,IF(RIGHT(Y27,4)="*0,3",0.3,IF(EZ28&lt;&gt;"",1,""))),IF(EZ28&lt;&gt;"",IF(OR(RIGHT(Y27,4)="*0,5",RIGHT(Y27,4)="*0,3"),0.5,1),""))</f>
        <v/>
      </c>
      <c r="FA81" s="88" t="str">
        <f t="shared" ref="FA81" si="2851">IF($T$5="",IF(RIGHT(Z27,4)="*0,5",0.5,IF(RIGHT(Z27,4)="*0,3",0.3,IF(FA28&lt;&gt;"",1,""))),IF(FA28&lt;&gt;"",IF(OR(RIGHT(Z27,4)="*0,5",RIGHT(Z27,4)="*0,3"),0.5,1),""))</f>
        <v/>
      </c>
      <c r="FB81" s="88" t="str">
        <f t="shared" ref="FB81" si="2852">IF($T$5="",IF(RIGHT(AA27,4)="*0,5",0.5,IF(RIGHT(AA27,4)="*0,3",0.3,IF(FB28&lt;&gt;"",1,""))),IF(FB28&lt;&gt;"",IF(OR(RIGHT(AA27,4)="*0,5",RIGHT(AA27,4)="*0,3"),0.5,1),""))</f>
        <v/>
      </c>
      <c r="FC81" s="88" t="str">
        <f t="shared" ref="FC81" si="2853">IF($T$5="",IF(RIGHT(AB27,4)="*0,5",0.5,IF(RIGHT(AB27,4)="*0,3",0.3,IF(FC28&lt;&gt;"",1,""))),IF(FC28&lt;&gt;"",IF(OR(RIGHT(AB27,4)="*0,5",RIGHT(AB27,4)="*0,3"),0.5,1),""))</f>
        <v/>
      </c>
      <c r="FD81" s="88" t="str">
        <f t="shared" ref="FD81" si="2854">IF($T$5="",IF(RIGHT(AC27,4)="*0,5",0.5,IF(RIGHT(AC27,4)="*0,3",0.3,IF(FD28&lt;&gt;"",1,""))),IF(FD28&lt;&gt;"",IF(OR(RIGHT(AC27,4)="*0,5",RIGHT(AC27,4)="*0,3"),0.5,1),""))</f>
        <v/>
      </c>
      <c r="FE81" s="88" t="str">
        <f t="shared" ref="FE81" si="2855">IF($T$5="",IF(RIGHT(AD27,4)="*0,5",0.5,IF(RIGHT(AD27,4)="*0,3",0.3,IF(FE28&lt;&gt;"",1,""))),IF(FE28&lt;&gt;"",IF(OR(RIGHT(AD27,4)="*0,5",RIGHT(AD27,4)="*0,3"),0.5,1),""))</f>
        <v/>
      </c>
      <c r="FF81" s="88" t="str">
        <f t="shared" ref="FF81" si="2856">IF($T$5="",IF(RIGHT(AE27,4)="*0,5",0.5,IF(RIGHT(AE27,4)="*0,3",0.3,IF(FF28&lt;&gt;"",1,""))),IF(FF28&lt;&gt;"",IF(OR(RIGHT(AE27,4)="*0,5",RIGHT(AE27,4)="*0,3"),0.5,1),""))</f>
        <v/>
      </c>
      <c r="FG81" s="88" t="str">
        <f t="shared" ref="FG81" si="2857">IF($T$5="",IF(RIGHT(AF27,4)="*0,5",0.5,IF(RIGHT(AF27,4)="*0,3",0.3,IF(FG28&lt;&gt;"",1,""))),IF(FG28&lt;&gt;"",IF(OR(RIGHT(AF27,4)="*0,5",RIGHT(AF27,4)="*0,3"),0.5,1),""))</f>
        <v/>
      </c>
      <c r="FH81" s="88" t="str">
        <f t="shared" ref="FH81" si="2858">IF($T$5="",IF(RIGHT(AG27,4)="*0,5",0.5,IF(RIGHT(AG27,4)="*0,3",0.3,IF(FH28&lt;&gt;"",1,""))),IF(FH28&lt;&gt;"",IF(OR(RIGHT(AG27,4)="*0,5",RIGHT(AG27,4)="*0,3"),0.5,1),""))</f>
        <v/>
      </c>
      <c r="FI81" s="88" t="str">
        <f t="shared" ref="FI81" si="2859">IF($T$5="",IF(RIGHT(AH27,4)="*0,5",0.5,IF(RIGHT(AH27,4)="*0,3",0.3,IF(FI28&lt;&gt;"",1,""))),IF(FI28&lt;&gt;"",IF(OR(RIGHT(AH27,4)="*0,5",RIGHT(AH27,4)="*0,3"),0.5,1),""))</f>
        <v/>
      </c>
      <c r="FJ81" s="88" t="str">
        <f t="shared" ref="FJ81" si="2860">IF($T$5="",IF(RIGHT(AI27,4)="*0,5",0.5,IF(RIGHT(AI27,4)="*0,3",0.3,IF(FJ28&lt;&gt;"",1,""))),IF(FJ28&lt;&gt;"",IF(OR(RIGHT(AI27,4)="*0,5",RIGHT(AI27,4)="*0,3"),0.5,1),""))</f>
        <v/>
      </c>
      <c r="FK81" s="88" t="str">
        <f t="shared" ref="FK81" si="2861">IF($T$5="",IF(RIGHT(AJ27,4)="*0,5",0.5,IF(RIGHT(AJ27,4)="*0,3",0.3,IF(FK28&lt;&gt;"",1,""))),IF(FK28&lt;&gt;"",IF(OR(RIGHT(AJ27,4)="*0,5",RIGHT(AJ27,4)="*0,3"),0.5,1),""))</f>
        <v/>
      </c>
      <c r="FL81" s="88" t="str">
        <f t="shared" ref="FL81" si="2862">IF($T$5="",IF(RIGHT(AK27,4)="*0,5",0.5,IF(RIGHT(AK27,4)="*0,3",0.3,IF(FL28&lt;&gt;"",1,""))),IF(FL28&lt;&gt;"",IF(OR(RIGHT(AK27,4)="*0,5",RIGHT(AK27,4)="*0,3"),0.5,1),""))</f>
        <v/>
      </c>
      <c r="FM81" s="88" t="str">
        <f t="shared" ref="FM81" si="2863">IF($T$5="",IF(RIGHT(AL27,4)="*0,5",0.5,IF(RIGHT(AL27,4)="*0,3",0.3,IF(FM28&lt;&gt;"",1,""))),IF(FM28&lt;&gt;"",IF(OR(RIGHT(AL27,4)="*0,5",RIGHT(AL27,4)="*0,3"),0.5,1),""))</f>
        <v/>
      </c>
      <c r="FN81" s="88" t="str">
        <f t="shared" ref="FN81" si="2864">IF($T$5="",IF(RIGHT(AM27,4)="*0,5",0.5,IF(RIGHT(AM27,4)="*0,3",0.3,IF(FN28&lt;&gt;"",1,""))),IF(FN28&lt;&gt;"",IF(OR(RIGHT(AM27,4)="*0,5",RIGHT(AM27,4)="*0,3"),0.5,1),""))</f>
        <v/>
      </c>
      <c r="FQ81" s="88"/>
      <c r="FR81" s="88" t="str">
        <f t="shared" ref="FR81:GU81" si="2865">IFERROR(IF(LEFT(FR78,FIND("*",FR78)-1)=LEFT($FQ$73,FIND("*",$FQ$73)-1),0.5,""),"")</f>
        <v/>
      </c>
      <c r="FS81" s="88" t="str">
        <f t="shared" si="2865"/>
        <v/>
      </c>
      <c r="FT81" s="88" t="str">
        <f t="shared" si="2865"/>
        <v/>
      </c>
      <c r="FU81" s="88" t="str">
        <f t="shared" si="2865"/>
        <v/>
      </c>
      <c r="FV81" s="88" t="str">
        <f t="shared" si="2865"/>
        <v/>
      </c>
      <c r="FW81" s="88" t="str">
        <f t="shared" si="2865"/>
        <v/>
      </c>
      <c r="FX81" s="88" t="str">
        <f t="shared" si="2865"/>
        <v/>
      </c>
      <c r="FY81" s="88" t="str">
        <f t="shared" si="2865"/>
        <v/>
      </c>
      <c r="FZ81" s="88" t="str">
        <f t="shared" si="2865"/>
        <v/>
      </c>
      <c r="GA81" s="88" t="str">
        <f t="shared" si="2865"/>
        <v/>
      </c>
      <c r="GB81" s="88" t="str">
        <f t="shared" si="2865"/>
        <v/>
      </c>
      <c r="GC81" s="88" t="str">
        <f t="shared" si="2865"/>
        <v/>
      </c>
      <c r="GD81" s="88" t="str">
        <f t="shared" si="2865"/>
        <v/>
      </c>
      <c r="GE81" s="88" t="str">
        <f t="shared" si="2865"/>
        <v/>
      </c>
      <c r="GF81" s="88" t="str">
        <f t="shared" si="2865"/>
        <v/>
      </c>
      <c r="GG81" s="88" t="str">
        <f t="shared" si="2865"/>
        <v/>
      </c>
      <c r="GH81" s="88" t="str">
        <f t="shared" si="2865"/>
        <v/>
      </c>
      <c r="GI81" s="88" t="str">
        <f t="shared" si="2865"/>
        <v/>
      </c>
      <c r="GJ81" s="88" t="str">
        <f t="shared" si="2865"/>
        <v/>
      </c>
      <c r="GK81" s="88" t="str">
        <f t="shared" si="2865"/>
        <v/>
      </c>
      <c r="GL81" s="88" t="str">
        <f t="shared" si="2865"/>
        <v/>
      </c>
      <c r="GM81" s="88" t="str">
        <f t="shared" si="2865"/>
        <v/>
      </c>
      <c r="GN81" s="88" t="str">
        <f t="shared" si="2865"/>
        <v/>
      </c>
      <c r="GO81" s="88" t="str">
        <f t="shared" si="2865"/>
        <v/>
      </c>
      <c r="GP81" s="88" t="str">
        <f t="shared" si="2865"/>
        <v/>
      </c>
      <c r="GQ81" s="88" t="str">
        <f t="shared" si="2865"/>
        <v/>
      </c>
      <c r="GR81" s="88" t="str">
        <f t="shared" si="2865"/>
        <v/>
      </c>
      <c r="GS81" s="88" t="str">
        <f t="shared" si="2865"/>
        <v/>
      </c>
      <c r="GT81" s="88" t="str">
        <f t="shared" si="2865"/>
        <v/>
      </c>
      <c r="GU81" s="88" t="str">
        <f t="shared" si="2865"/>
        <v/>
      </c>
    </row>
    <row r="82" spans="5:203" ht="12.75" customHeight="1" x14ac:dyDescent="0.35">
      <c r="EO82" s="88"/>
      <c r="EP82" s="88"/>
      <c r="EQ82" s="88"/>
      <c r="ER82" s="88"/>
      <c r="ES82" s="88"/>
      <c r="ET82" s="88"/>
      <c r="EU82" s="88"/>
      <c r="EV82" s="88"/>
      <c r="EW82" s="88"/>
      <c r="EX82" s="88"/>
      <c r="EY82" s="88"/>
      <c r="EZ82" s="88"/>
      <c r="FA82" s="88"/>
      <c r="FB82" s="88"/>
      <c r="FC82" s="88"/>
      <c r="FD82" s="88"/>
      <c r="FE82" s="88"/>
      <c r="FF82" s="88"/>
      <c r="FG82" s="88"/>
      <c r="FH82" s="88"/>
      <c r="FI82" s="88"/>
      <c r="FJ82" s="88"/>
      <c r="FK82" s="88"/>
      <c r="FL82" s="88"/>
      <c r="FM82" s="88"/>
      <c r="FN82" s="88"/>
      <c r="FQ82" s="88"/>
      <c r="FR82" s="88"/>
      <c r="FS82" s="88"/>
      <c r="FT82" s="88"/>
      <c r="FU82" s="88"/>
      <c r="FV82" s="88"/>
      <c r="FW82" s="88"/>
      <c r="FX82" s="88"/>
      <c r="FY82" s="88"/>
      <c r="FZ82" s="88"/>
      <c r="GA82" s="88"/>
      <c r="GB82" s="88"/>
      <c r="GC82" s="88"/>
      <c r="GD82" s="88"/>
      <c r="GE82" s="88"/>
      <c r="GF82" s="88"/>
      <c r="GG82" s="88"/>
      <c r="GH82" s="88"/>
      <c r="GI82" s="88"/>
      <c r="GJ82" s="88"/>
      <c r="GK82" s="88"/>
      <c r="GL82" s="88"/>
      <c r="GM82" s="88"/>
      <c r="GN82" s="88"/>
      <c r="GO82" s="88"/>
      <c r="GP82" s="88"/>
      <c r="GQ82" s="88"/>
      <c r="GR82" s="88"/>
      <c r="GS82" s="88"/>
      <c r="GT82" s="88"/>
      <c r="GU82" s="88"/>
    </row>
    <row r="83" spans="5:203" ht="12.75" customHeight="1" x14ac:dyDescent="0.35">
      <c r="EG83" s="88">
        <f t="shared" ref="EG83" si="2866">COUNTIF(EK83:FN83,0.3)</f>
        <v>0</v>
      </c>
      <c r="EH83" s="88">
        <f t="shared" ref="EH83" si="2867">COUNTIF(EK83:FN83,0.5)</f>
        <v>0</v>
      </c>
      <c r="EI83" s="88" t="str">
        <f t="shared" ref="EI83" si="2868">IF(AND(T15="",OR(EG83&gt;5,EH83&gt;5)),"X",IF(SUM(EK83:FN83)&gt;5,"X",""))</f>
        <v/>
      </c>
      <c r="EK83" s="88" t="str">
        <f t="shared" ref="EK83" si="2869">IF($T$5="",IF(RIGHT(J29,4)="*0,5",0.5,IF(RIGHT(J29,4)="*0,3",0.3,IF(EK30&lt;&gt;"",1,""))),IF(EK30&lt;&gt;"",IF(OR(RIGHT(J29,4)="*0,5",RIGHT(J29,4)="*0,3"),0.5,1),""))</f>
        <v/>
      </c>
      <c r="EL83" s="88" t="str">
        <f t="shared" ref="EL83" si="2870">IF($T$5="",IF(RIGHT(K29,4)="*0,5",0.5,IF(RIGHT(K29,4)="*0,3",0.3,IF(EL30&lt;&gt;"",1,""))),IF(EL30&lt;&gt;"",IF(OR(RIGHT(K29,4)="*0,5",RIGHT(K29,4)="*0,3"),0.5,1),""))</f>
        <v/>
      </c>
      <c r="EM83" s="88" t="str">
        <f t="shared" ref="EM83" si="2871">IF($T$5="",IF(RIGHT(L29,4)="*0,5",0.5,IF(RIGHT(L29,4)="*0,3",0.3,IF(EM30&lt;&gt;"",1,""))),IF(EM30&lt;&gt;"",IF(OR(RIGHT(L29,4)="*0,5",RIGHT(L29,4)="*0,3"),0.5,1),""))</f>
        <v/>
      </c>
      <c r="EN83" s="88" t="str">
        <f t="shared" ref="EN83" si="2872">IF($T$5="",IF(RIGHT(M29,4)="*0,5",0.5,IF(RIGHT(M29,4)="*0,3",0.3,IF(EN30&lt;&gt;"",1,""))),IF(EN30&lt;&gt;"",IF(OR(RIGHT(M29,4)="*0,5",RIGHT(M29,4)="*0,3"),0.5,1),""))</f>
        <v/>
      </c>
      <c r="EO83" s="88" t="str">
        <f t="shared" ref="EO83" si="2873">IF($T$5="",IF(RIGHT(N29,4)="*0,5",0.5,IF(RIGHT(N29,4)="*0,3",0.3,IF(EO30&lt;&gt;"",1,""))),IF(EO30&lt;&gt;"",IF(OR(RIGHT(N29,4)="*0,5",RIGHT(N29,4)="*0,3"),0.5,1),""))</f>
        <v/>
      </c>
      <c r="EP83" s="88" t="str">
        <f t="shared" ref="EP83" si="2874">IF($T$5="",IF(RIGHT(O29,4)="*0,5",0.5,IF(RIGHT(O29,4)="*0,3",0.3,IF(EP30&lt;&gt;"",1,""))),IF(EP30&lt;&gt;"",IF(OR(RIGHT(O29,4)="*0,5",RIGHT(O29,4)="*0,3"),0.5,1),""))</f>
        <v/>
      </c>
      <c r="EQ83" s="88" t="str">
        <f t="shared" ref="EQ83" si="2875">IF($T$5="",IF(RIGHT(P29,4)="*0,5",0.5,IF(RIGHT(P29,4)="*0,3",0.3,IF(EQ30&lt;&gt;"",1,""))),IF(EQ30&lt;&gt;"",IF(OR(RIGHT(P29,4)="*0,5",RIGHT(P29,4)="*0,3"),0.5,1),""))</f>
        <v/>
      </c>
      <c r="ER83" s="88" t="str">
        <f t="shared" ref="ER83" si="2876">IF($T$5="",IF(RIGHT(Q29,4)="*0,5",0.5,IF(RIGHT(Q29,4)="*0,3",0.3,IF(ER30&lt;&gt;"",1,""))),IF(ER30&lt;&gt;"",IF(OR(RIGHT(Q29,4)="*0,5",RIGHT(Q29,4)="*0,3"),0.5,1),""))</f>
        <v/>
      </c>
      <c r="ES83" s="88" t="str">
        <f t="shared" ref="ES83" si="2877">IF($T$5="",IF(RIGHT(R29,4)="*0,5",0.5,IF(RIGHT(R29,4)="*0,3",0.3,IF(ES30&lt;&gt;"",1,""))),IF(ES30&lt;&gt;"",IF(OR(RIGHT(R29,4)="*0,5",RIGHT(R29,4)="*0,3"),0.5,1),""))</f>
        <v/>
      </c>
      <c r="ET83" s="88" t="str">
        <f t="shared" ref="ET83" si="2878">IF($T$5="",IF(RIGHT(S29,4)="*0,5",0.5,IF(RIGHT(S29,4)="*0,3",0.3,IF(ET30&lt;&gt;"",1,""))),IF(ET30&lt;&gt;"",IF(OR(RIGHT(S29,4)="*0,5",RIGHT(S29,4)="*0,3"),0.5,1),""))</f>
        <v/>
      </c>
      <c r="EU83" s="88" t="str">
        <f t="shared" ref="EU83" si="2879">IF($T$5="",IF(RIGHT(T29,4)="*0,5",0.5,IF(RIGHT(T29,4)="*0,3",0.3,IF(EU30&lt;&gt;"",1,""))),IF(EU30&lt;&gt;"",IF(OR(RIGHT(T29,4)="*0,5",RIGHT(T29,4)="*0,3"),0.5,1),""))</f>
        <v/>
      </c>
      <c r="EV83" s="88" t="str">
        <f t="shared" ref="EV83" si="2880">IF($T$5="",IF(RIGHT(U29,4)="*0,5",0.5,IF(RIGHT(U29,4)="*0,3",0.3,IF(EV30&lt;&gt;"",1,""))),IF(EV30&lt;&gt;"",IF(OR(RIGHT(U29,4)="*0,5",RIGHT(U29,4)="*0,3"),0.5,1),""))</f>
        <v/>
      </c>
      <c r="EW83" s="88" t="str">
        <f t="shared" ref="EW83" si="2881">IF($T$5="",IF(RIGHT(V29,4)="*0,5",0.5,IF(RIGHT(V29,4)="*0,3",0.3,IF(EW30&lt;&gt;"",1,""))),IF(EW30&lt;&gt;"",IF(OR(RIGHT(V29,4)="*0,5",RIGHT(V29,4)="*0,3"),0.5,1),""))</f>
        <v/>
      </c>
      <c r="EX83" s="88" t="str">
        <f t="shared" ref="EX83" si="2882">IF($T$5="",IF(RIGHT(W29,4)="*0,5",0.5,IF(RIGHT(W29,4)="*0,3",0.3,IF(EX30&lt;&gt;"",1,""))),IF(EX30&lt;&gt;"",IF(OR(RIGHT(W29,4)="*0,5",RIGHT(W29,4)="*0,3"),0.5,1),""))</f>
        <v/>
      </c>
      <c r="EY83" s="88" t="str">
        <f t="shared" ref="EY83" si="2883">IF($T$5="",IF(RIGHT(X29,4)="*0,5",0.5,IF(RIGHT(X29,4)="*0,3",0.3,IF(EY30&lt;&gt;"",1,""))),IF(EY30&lt;&gt;"",IF(OR(RIGHT(X29,4)="*0,5",RIGHT(X29,4)="*0,3"),0.5,1),""))</f>
        <v/>
      </c>
      <c r="EZ83" s="88" t="str">
        <f t="shared" ref="EZ83" si="2884">IF($T$5="",IF(RIGHT(Y29,4)="*0,5",0.5,IF(RIGHT(Y29,4)="*0,3",0.3,IF(EZ30&lt;&gt;"",1,""))),IF(EZ30&lt;&gt;"",IF(OR(RIGHT(Y29,4)="*0,5",RIGHT(Y29,4)="*0,3"),0.5,1),""))</f>
        <v/>
      </c>
      <c r="FA83" s="88" t="str">
        <f t="shared" ref="FA83" si="2885">IF($T$5="",IF(RIGHT(Z29,4)="*0,5",0.5,IF(RIGHT(Z29,4)="*0,3",0.3,IF(FA30&lt;&gt;"",1,""))),IF(FA30&lt;&gt;"",IF(OR(RIGHT(Z29,4)="*0,5",RIGHT(Z29,4)="*0,3"),0.5,1),""))</f>
        <v/>
      </c>
      <c r="FB83" s="88" t="str">
        <f t="shared" ref="FB83" si="2886">IF($T$5="",IF(RIGHT(AA29,4)="*0,5",0.5,IF(RIGHT(AA29,4)="*0,3",0.3,IF(FB30&lt;&gt;"",1,""))),IF(FB30&lt;&gt;"",IF(OR(RIGHT(AA29,4)="*0,5",RIGHT(AA29,4)="*0,3"),0.5,1),""))</f>
        <v/>
      </c>
      <c r="FC83" s="88" t="str">
        <f t="shared" ref="FC83" si="2887">IF($T$5="",IF(RIGHT(AB29,4)="*0,5",0.5,IF(RIGHT(AB29,4)="*0,3",0.3,IF(FC30&lt;&gt;"",1,""))),IF(FC30&lt;&gt;"",IF(OR(RIGHT(AB29,4)="*0,5",RIGHT(AB29,4)="*0,3"),0.5,1),""))</f>
        <v/>
      </c>
      <c r="FD83" s="88" t="str">
        <f t="shared" ref="FD83" si="2888">IF($T$5="",IF(RIGHT(AC29,4)="*0,5",0.5,IF(RIGHT(AC29,4)="*0,3",0.3,IF(FD30&lt;&gt;"",1,""))),IF(FD30&lt;&gt;"",IF(OR(RIGHT(AC29,4)="*0,5",RIGHT(AC29,4)="*0,3"),0.5,1),""))</f>
        <v/>
      </c>
      <c r="FE83" s="88" t="str">
        <f t="shared" ref="FE83" si="2889">IF($T$5="",IF(RIGHT(AD29,4)="*0,5",0.5,IF(RIGHT(AD29,4)="*0,3",0.3,IF(FE30&lt;&gt;"",1,""))),IF(FE30&lt;&gt;"",IF(OR(RIGHT(AD29,4)="*0,5",RIGHT(AD29,4)="*0,3"),0.5,1),""))</f>
        <v/>
      </c>
      <c r="FF83" s="88" t="str">
        <f t="shared" ref="FF83" si="2890">IF($T$5="",IF(RIGHT(AE29,4)="*0,5",0.5,IF(RIGHT(AE29,4)="*0,3",0.3,IF(FF30&lt;&gt;"",1,""))),IF(FF30&lt;&gt;"",IF(OR(RIGHT(AE29,4)="*0,5",RIGHT(AE29,4)="*0,3"),0.5,1),""))</f>
        <v/>
      </c>
      <c r="FG83" s="88" t="str">
        <f t="shared" ref="FG83" si="2891">IF($T$5="",IF(RIGHT(AF29,4)="*0,5",0.5,IF(RIGHT(AF29,4)="*0,3",0.3,IF(FG30&lt;&gt;"",1,""))),IF(FG30&lt;&gt;"",IF(OR(RIGHT(AF29,4)="*0,5",RIGHT(AF29,4)="*0,3"),0.5,1),""))</f>
        <v/>
      </c>
      <c r="FH83" s="88" t="str">
        <f t="shared" ref="FH83" si="2892">IF($T$5="",IF(RIGHT(AG29,4)="*0,5",0.5,IF(RIGHT(AG29,4)="*0,3",0.3,IF(FH30&lt;&gt;"",1,""))),IF(FH30&lt;&gt;"",IF(OR(RIGHT(AG29,4)="*0,5",RIGHT(AG29,4)="*0,3"),0.5,1),""))</f>
        <v/>
      </c>
      <c r="FI83" s="88" t="str">
        <f t="shared" ref="FI83" si="2893">IF($T$5="",IF(RIGHT(AH29,4)="*0,5",0.5,IF(RIGHT(AH29,4)="*0,3",0.3,IF(FI30&lt;&gt;"",1,""))),IF(FI30&lt;&gt;"",IF(OR(RIGHT(AH29,4)="*0,5",RIGHT(AH29,4)="*0,3"),0.5,1),""))</f>
        <v/>
      </c>
      <c r="FJ83" s="88" t="str">
        <f t="shared" ref="FJ83" si="2894">IF($T$5="",IF(RIGHT(AI29,4)="*0,5",0.5,IF(RIGHT(AI29,4)="*0,3",0.3,IF(FJ30&lt;&gt;"",1,""))),IF(FJ30&lt;&gt;"",IF(OR(RIGHT(AI29,4)="*0,5",RIGHT(AI29,4)="*0,3"),0.5,1),""))</f>
        <v/>
      </c>
      <c r="FK83" s="88" t="str">
        <f t="shared" ref="FK83" si="2895">IF($T$5="",IF(RIGHT(AJ29,4)="*0,5",0.5,IF(RIGHT(AJ29,4)="*0,3",0.3,IF(FK30&lt;&gt;"",1,""))),IF(FK30&lt;&gt;"",IF(OR(RIGHT(AJ29,4)="*0,5",RIGHT(AJ29,4)="*0,3"),0.5,1),""))</f>
        <v/>
      </c>
      <c r="FL83" s="88" t="str">
        <f t="shared" ref="FL83" si="2896">IF($T$5="",IF(RIGHT(AK29,4)="*0,5",0.5,IF(RIGHT(AK29,4)="*0,3",0.3,IF(FL30&lt;&gt;"",1,""))),IF(FL30&lt;&gt;"",IF(OR(RIGHT(AK29,4)="*0,5",RIGHT(AK29,4)="*0,3"),0.5,1),""))</f>
        <v/>
      </c>
      <c r="FM83" s="88" t="str">
        <f t="shared" ref="FM83" si="2897">IF($T$5="",IF(RIGHT(AL29,4)="*0,5",0.5,IF(RIGHT(AL29,4)="*0,3",0.3,IF(FM30&lt;&gt;"",1,""))),IF(FM30&lt;&gt;"",IF(OR(RIGHT(AL29,4)="*0,5",RIGHT(AL29,4)="*0,3"),0.5,1),""))</f>
        <v/>
      </c>
      <c r="FN83" s="88" t="str">
        <f t="shared" ref="FN83" si="2898">IF($T$5="",IF(RIGHT(AM29,4)="*0,5",0.5,IF(RIGHT(AM29,4)="*0,3",0.3,IF(FN30&lt;&gt;"",1,""))),IF(FN30&lt;&gt;"",IF(OR(RIGHT(AM29,4)="*0,5",RIGHT(AM29,4)="*0,3"),0.5,1),""))</f>
        <v/>
      </c>
      <c r="FO83" s="91">
        <v>4</v>
      </c>
      <c r="FP83" s="88" t="str">
        <f t="shared" ref="FP83" si="2899">IF(SUM(FR86:GU86)&gt;2,FQ83,"")</f>
        <v/>
      </c>
      <c r="FQ83" s="88" t="str" cm="1">
        <f t="array" ref="FQ83">IF(SUM(FR85:GU85)&gt;0,_xlfn.LET(_xlpm.area,FR83:GU83,_xlpm.texts,_xlfn.UNIQUE(_xlfn._xlws.FILTER(_xlpm.area,_xlpm.area&lt;&gt;"")),_xlpm.number,COUNTIF(_xlpm.area,_xlpm.texts),INDEX(_xlpm.texts,MATCH(MAX(_xlpm.number),_xlpm.number,0))),"")</f>
        <v/>
      </c>
      <c r="FR83" s="88" cm="1">
        <f t="array" ref="FR83">_xlfn.LET(_xlpm.rad,$FO83+1,_xlpm.typ,INDEX($E$20:$E$68,_xlpm.rad),_xlpm.kod,INDEX(J$19:J$68,_xlpm.rad),IFERROR(IF(AND(_xlpm.typ="H",_xlpm.kod&lt;&gt;""),UPPER(_xlpm.kod),FR$18),FR$18))</f>
        <v>1</v>
      </c>
      <c r="FS83" s="88" cm="1">
        <f t="array" ref="FS83">_xlfn.LET(_xlpm.rad,$FO83+1,_xlpm.typ,INDEX($E$20:$E$68,_xlpm.rad),_xlpm.kod,INDEX(K$19:K$68,_xlpm.rad),IFERROR(IF(AND(_xlpm.typ="H",_xlpm.kod&lt;&gt;""),UPPER(_xlpm.kod),FS$18),FS$18))</f>
        <v>2</v>
      </c>
      <c r="FT83" s="88" cm="1">
        <f t="array" ref="FT83">_xlfn.LET(_xlpm.rad,$FO83+1,_xlpm.typ,INDEX($E$20:$E$68,_xlpm.rad),_xlpm.kod,INDEX(L$19:L$68,_xlpm.rad),IFERROR(IF(AND(_xlpm.typ="H",_xlpm.kod&lt;&gt;""),UPPER(_xlpm.kod),FT$18),FT$18))</f>
        <v>3</v>
      </c>
      <c r="FU83" s="88" cm="1">
        <f t="array" ref="FU83">_xlfn.LET(_xlpm.rad,$FO83+1,_xlpm.typ,INDEX($E$20:$E$68,_xlpm.rad),_xlpm.kod,INDEX(M$19:M$68,_xlpm.rad),IFERROR(IF(AND(_xlpm.typ="H",_xlpm.kod&lt;&gt;""),UPPER(_xlpm.kod),FU$18),FU$18))</f>
        <v>4</v>
      </c>
      <c r="FV83" s="88" cm="1">
        <f t="array" ref="FV83">_xlfn.LET(_xlpm.rad,$FO83+1,_xlpm.typ,INDEX($E$20:$E$68,_xlpm.rad),_xlpm.kod,INDEX(N$19:N$68,_xlpm.rad),IFERROR(IF(AND(_xlpm.typ="H",_xlpm.kod&lt;&gt;""),UPPER(_xlpm.kod),FV$18),FV$18))</f>
        <v>5</v>
      </c>
      <c r="FW83" s="88" cm="1">
        <f t="array" ref="FW83">_xlfn.LET(_xlpm.rad,$FO83+1,_xlpm.typ,INDEX($E$20:$E$68,_xlpm.rad),_xlpm.kod,INDEX(O$19:O$68,_xlpm.rad),IFERROR(IF(AND(_xlpm.typ="H",_xlpm.kod&lt;&gt;""),UPPER(_xlpm.kod),FW$18),FW$18))</f>
        <v>6</v>
      </c>
      <c r="FX83" s="88" cm="1">
        <f t="array" ref="FX83">_xlfn.LET(_xlpm.rad,$FO83+1,_xlpm.typ,INDEX($E$20:$E$68,_xlpm.rad),_xlpm.kod,INDEX(P$19:P$68,_xlpm.rad),IFERROR(IF(AND(_xlpm.typ="H",_xlpm.kod&lt;&gt;""),UPPER(_xlpm.kod),FX$18),FX$18))</f>
        <v>7</v>
      </c>
      <c r="FY83" s="88" cm="1">
        <f t="array" ref="FY83">_xlfn.LET(_xlpm.rad,$FO83+1,_xlpm.typ,INDEX($E$20:$E$68,_xlpm.rad),_xlpm.kod,INDEX(Q$19:Q$68,_xlpm.rad),IFERROR(IF(AND(_xlpm.typ="H",_xlpm.kod&lt;&gt;""),UPPER(_xlpm.kod),FY$18),FY$18))</f>
        <v>8</v>
      </c>
      <c r="FZ83" s="88" cm="1">
        <f t="array" ref="FZ83">_xlfn.LET(_xlpm.rad,$FO83+1,_xlpm.typ,INDEX($E$20:$E$68,_xlpm.rad),_xlpm.kod,INDEX(R$19:R$68,_xlpm.rad),IFERROR(IF(AND(_xlpm.typ="H",_xlpm.kod&lt;&gt;""),UPPER(_xlpm.kod),FZ$18),FZ$18))</f>
        <v>9</v>
      </c>
      <c r="GA83" s="88" cm="1">
        <f t="array" ref="GA83">_xlfn.LET(_xlpm.rad,$FO83+1,_xlpm.typ,INDEX($E$20:$E$68,_xlpm.rad),_xlpm.kod,INDEX(S$19:S$68,_xlpm.rad),IFERROR(IF(AND(_xlpm.typ="H",_xlpm.kod&lt;&gt;""),UPPER(_xlpm.kod),GA$18),GA$18))</f>
        <v>10</v>
      </c>
      <c r="GB83" s="88" cm="1">
        <f t="array" ref="GB83">_xlfn.LET(_xlpm.rad,$FO83+1,_xlpm.typ,INDEX($E$20:$E$68,_xlpm.rad),_xlpm.kod,INDEX(T$19:T$68,_xlpm.rad),IFERROR(IF(AND(_xlpm.typ="H",_xlpm.kod&lt;&gt;""),UPPER(_xlpm.kod),GB$18),GB$18))</f>
        <v>11</v>
      </c>
      <c r="GC83" s="88" cm="1">
        <f t="array" ref="GC83">_xlfn.LET(_xlpm.rad,$FO83+1,_xlpm.typ,INDEX($E$20:$E$68,_xlpm.rad),_xlpm.kod,INDEX(U$19:U$68,_xlpm.rad),IFERROR(IF(AND(_xlpm.typ="H",_xlpm.kod&lt;&gt;""),UPPER(_xlpm.kod),GC$18),GC$18))</f>
        <v>12</v>
      </c>
      <c r="GD83" s="88" cm="1">
        <f t="array" ref="GD83">_xlfn.LET(_xlpm.rad,$FO83+1,_xlpm.typ,INDEX($E$20:$E$68,_xlpm.rad),_xlpm.kod,INDEX(V$19:V$68,_xlpm.rad),IFERROR(IF(AND(_xlpm.typ="H",_xlpm.kod&lt;&gt;""),UPPER(_xlpm.kod),GD$18),GD$18))</f>
        <v>13</v>
      </c>
      <c r="GE83" s="88" cm="1">
        <f t="array" ref="GE83">_xlfn.LET(_xlpm.rad,$FO83+1,_xlpm.typ,INDEX($E$20:$E$68,_xlpm.rad),_xlpm.kod,INDEX(W$19:W$68,_xlpm.rad),IFERROR(IF(AND(_xlpm.typ="H",_xlpm.kod&lt;&gt;""),UPPER(_xlpm.kod),GE$18),GE$18))</f>
        <v>14</v>
      </c>
      <c r="GF83" s="88" cm="1">
        <f t="array" ref="GF83">_xlfn.LET(_xlpm.rad,$FO83+1,_xlpm.typ,INDEX($E$20:$E$68,_xlpm.rad),_xlpm.kod,INDEX(X$19:X$68,_xlpm.rad),IFERROR(IF(AND(_xlpm.typ="H",_xlpm.kod&lt;&gt;""),UPPER(_xlpm.kod),GF$18),GF$18))</f>
        <v>15</v>
      </c>
      <c r="GG83" s="88" cm="1">
        <f t="array" ref="GG83">_xlfn.LET(_xlpm.rad,$FO83+1,_xlpm.typ,INDEX($E$20:$E$68,_xlpm.rad),_xlpm.kod,INDEX(Y$19:Y$68,_xlpm.rad),IFERROR(IF(AND(_xlpm.typ="H",_xlpm.kod&lt;&gt;""),UPPER(_xlpm.kod),GG$18),GG$18))</f>
        <v>16</v>
      </c>
      <c r="GH83" s="88" cm="1">
        <f t="array" ref="GH83">_xlfn.LET(_xlpm.rad,$FO83+1,_xlpm.typ,INDEX($E$20:$E$68,_xlpm.rad),_xlpm.kod,INDEX(Z$19:Z$68,_xlpm.rad),IFERROR(IF(AND(_xlpm.typ="H",_xlpm.kod&lt;&gt;""),UPPER(_xlpm.kod),GH$18),GH$18))</f>
        <v>17</v>
      </c>
      <c r="GI83" s="88" cm="1">
        <f t="array" ref="GI83">_xlfn.LET(_xlpm.rad,$FO83+1,_xlpm.typ,INDEX($E$20:$E$68,_xlpm.rad),_xlpm.kod,INDEX(AA$19:AA$68,_xlpm.rad),IFERROR(IF(AND(_xlpm.typ="H",_xlpm.kod&lt;&gt;""),UPPER(_xlpm.kod),GI$18),GI$18))</f>
        <v>18</v>
      </c>
      <c r="GJ83" s="88" cm="1">
        <f t="array" ref="GJ83">_xlfn.LET(_xlpm.rad,$FO83+1,_xlpm.typ,INDEX($E$20:$E$68,_xlpm.rad),_xlpm.kod,INDEX(AB$19:AB$68,_xlpm.rad),IFERROR(IF(AND(_xlpm.typ="H",_xlpm.kod&lt;&gt;""),UPPER(_xlpm.kod),GJ$18),GJ$18))</f>
        <v>19</v>
      </c>
      <c r="GK83" s="88" cm="1">
        <f t="array" ref="GK83">_xlfn.LET(_xlpm.rad,$FO83+1,_xlpm.typ,INDEX($E$20:$E$68,_xlpm.rad),_xlpm.kod,INDEX(AC$19:AC$68,_xlpm.rad),IFERROR(IF(AND(_xlpm.typ="H",_xlpm.kod&lt;&gt;""),UPPER(_xlpm.kod),GK$18),GK$18))</f>
        <v>20</v>
      </c>
      <c r="GL83" s="88" cm="1">
        <f t="array" ref="GL83">_xlfn.LET(_xlpm.rad,$FO83+1,_xlpm.typ,INDEX($E$20:$E$68,_xlpm.rad),_xlpm.kod,INDEX(AD$19:AD$68,_xlpm.rad),IFERROR(IF(AND(_xlpm.typ="H",_xlpm.kod&lt;&gt;""),UPPER(_xlpm.kod),GL$18),GL$18))</f>
        <v>21</v>
      </c>
      <c r="GM83" s="88" cm="1">
        <f t="array" ref="GM83">_xlfn.LET(_xlpm.rad,$FO83+1,_xlpm.typ,INDEX($E$20:$E$68,_xlpm.rad),_xlpm.kod,INDEX(AE$19:AE$68,_xlpm.rad),IFERROR(IF(AND(_xlpm.typ="H",_xlpm.kod&lt;&gt;""),UPPER(_xlpm.kod),GM$18),GM$18))</f>
        <v>22</v>
      </c>
      <c r="GN83" s="88" cm="1">
        <f t="array" ref="GN83">_xlfn.LET(_xlpm.rad,$FO83+1,_xlpm.typ,INDEX($E$20:$E$68,_xlpm.rad),_xlpm.kod,INDEX(AF$19:AF$68,_xlpm.rad),IFERROR(IF(AND(_xlpm.typ="H",_xlpm.kod&lt;&gt;""),UPPER(_xlpm.kod),GN$18),GN$18))</f>
        <v>23</v>
      </c>
      <c r="GO83" s="88" cm="1">
        <f t="array" ref="GO83">_xlfn.LET(_xlpm.rad,$FO83+1,_xlpm.typ,INDEX($E$20:$E$68,_xlpm.rad),_xlpm.kod,INDEX(AG$19:AG$68,_xlpm.rad),IFERROR(IF(AND(_xlpm.typ="H",_xlpm.kod&lt;&gt;""),UPPER(_xlpm.kod),GO$18),GO$18))</f>
        <v>24</v>
      </c>
      <c r="GP83" s="88" cm="1">
        <f t="array" ref="GP83">_xlfn.LET(_xlpm.rad,$FO83+1,_xlpm.typ,INDEX($E$20:$E$68,_xlpm.rad),_xlpm.kod,INDEX(AH$19:AH$68,_xlpm.rad),IFERROR(IF(AND(_xlpm.typ="H",_xlpm.kod&lt;&gt;""),UPPER(_xlpm.kod),GP$18),GP$18))</f>
        <v>25</v>
      </c>
      <c r="GQ83" s="88" cm="1">
        <f t="array" ref="GQ83">_xlfn.LET(_xlpm.rad,$FO83+1,_xlpm.typ,INDEX($E$20:$E$68,_xlpm.rad),_xlpm.kod,INDEX(AI$19:AI$68,_xlpm.rad),IFERROR(IF(AND(_xlpm.typ="H",_xlpm.kod&lt;&gt;""),UPPER(_xlpm.kod),GQ$18),GQ$18))</f>
        <v>26</v>
      </c>
      <c r="GR83" s="88" cm="1">
        <f t="array" ref="GR83">_xlfn.LET(_xlpm.rad,$FO83+1,_xlpm.typ,INDEX($E$20:$E$68,_xlpm.rad),_xlpm.kod,INDEX(AJ$19:AJ$68,_xlpm.rad),IFERROR(IF(AND(_xlpm.typ="H",_xlpm.kod&lt;&gt;""),UPPER(_xlpm.kod),GR$18),GR$18))</f>
        <v>27</v>
      </c>
      <c r="GS83" s="88" cm="1">
        <f t="array" ref="GS83">_xlfn.LET(_xlpm.rad,$FO83+1,_xlpm.typ,INDEX($E$20:$E$68,_xlpm.rad),_xlpm.kod,INDEX(AK$19:AK$68,_xlpm.rad),IFERROR(IF(AND(_xlpm.typ="H",_xlpm.kod&lt;&gt;""),UPPER(_xlpm.kod),GS$18),GS$18))</f>
        <v>28</v>
      </c>
      <c r="GT83" s="88" cm="1">
        <f t="array" ref="GT83">_xlfn.LET(_xlpm.rad,$FO83+1,_xlpm.typ,INDEX($E$20:$E$68,_xlpm.rad),_xlpm.kod,INDEX(AL$19:AL$68,_xlpm.rad),IFERROR(IF(AND(_xlpm.typ="H",_xlpm.kod&lt;&gt;""),UPPER(_xlpm.kod),GT$18),GT$18))</f>
        <v>29</v>
      </c>
      <c r="GU83" s="88" cm="1">
        <f t="array" ref="GU83">_xlfn.LET(_xlpm.rad,$FO83+1,_xlpm.typ,INDEX($E$20:$E$68,_xlpm.rad),_xlpm.kod,INDEX(AM$19:AM$68,_xlpm.rad),IFERROR(IF(AND(_xlpm.typ="H",_xlpm.kod&lt;&gt;""),UPPER(_xlpm.kod),GU$18),GU$18))</f>
        <v>30</v>
      </c>
    </row>
    <row r="84" spans="5:203" ht="12.75" customHeight="1" x14ac:dyDescent="0.35">
      <c r="EO84" s="88"/>
      <c r="EP84" s="88"/>
      <c r="EQ84" s="88"/>
      <c r="ER84" s="88"/>
      <c r="ES84" s="88"/>
      <c r="ET84" s="88"/>
      <c r="EU84" s="88"/>
      <c r="EV84" s="88"/>
      <c r="EW84" s="88"/>
      <c r="EX84" s="88"/>
      <c r="EY84" s="88"/>
      <c r="EZ84" s="88"/>
      <c r="FA84" s="88"/>
      <c r="FB84" s="88"/>
      <c r="FC84" s="88"/>
      <c r="FD84" s="88"/>
      <c r="FE84" s="88"/>
      <c r="FF84" s="88"/>
      <c r="FG84" s="88"/>
      <c r="FH84" s="88"/>
      <c r="FI84" s="88"/>
      <c r="FJ84" s="88"/>
      <c r="FK84" s="88"/>
      <c r="FL84" s="88"/>
      <c r="FM84" s="88"/>
      <c r="FN84" s="88"/>
      <c r="FR84" s="88" cm="1">
        <f t="array" ref="FR84">_xlfn.LET(_xlpm.rad,$FO83+1,_xlpm.typ,INDEX($E$20:$E$68,_xlpm.rad),_xlpm.kod,INDEX(J$19:J$68,_xlpm.rad),_xlpm.del,INDEX($F$19:$F$68,_xlpm.rad),IFERROR(IF(AND(_xlpm.typ="H",_xlpm.kod&lt;&gt;"",_xlpm.del&lt;&gt;"Hybrid - Thrust + 2 connections"),INDEX(Hyb_Tech,MATCH(_xlpm.kod,Hyb_Code,0)),FR$72),FR$72))</f>
        <v>1</v>
      </c>
      <c r="FS84" s="88" cm="1">
        <f t="array" ref="FS84">_xlfn.LET(_xlpm.rad,$FO83+1,_xlpm.typ,INDEX($E$20:$E$68,_xlpm.rad),_xlpm.kod,INDEX(K$19:K$68,_xlpm.rad),_xlpm.del,INDEX($F$19:$F$68,_xlpm.rad),IFERROR(IF(AND(_xlpm.typ="H",_xlpm.kod&lt;&gt;"",_xlpm.del&lt;&gt;"Hybrid - Thrust + 2 connections"),INDEX(Hyb_Tech,MATCH(_xlpm.kod,Hyb_Code,0)),FS$72),FS$72))</f>
        <v>2</v>
      </c>
      <c r="FT84" s="88" cm="1">
        <f t="array" ref="FT84">_xlfn.LET(_xlpm.rad,$FO83+1,_xlpm.typ,INDEX($E$20:$E$68,_xlpm.rad),_xlpm.kod,INDEX(L$19:L$68,_xlpm.rad),_xlpm.del,INDEX($F$19:$F$68,_xlpm.rad),IFERROR(IF(AND(_xlpm.typ="H",_xlpm.kod&lt;&gt;"",_xlpm.del&lt;&gt;"Hybrid - Thrust + 2 connections"),INDEX(Hyb_Tech,MATCH(_xlpm.kod,Hyb_Code,0)),FT$72),FT$72))</f>
        <v>3</v>
      </c>
      <c r="FU84" s="88" cm="1">
        <f t="array" ref="FU84">_xlfn.LET(_xlpm.rad,$FO83+1,_xlpm.typ,INDEX($E$20:$E$68,_xlpm.rad),_xlpm.kod,INDEX(M$19:M$68,_xlpm.rad),_xlpm.del,INDEX($F$19:$F$68,_xlpm.rad),IFERROR(IF(AND(_xlpm.typ="H",_xlpm.kod&lt;&gt;"",_xlpm.del&lt;&gt;"Hybrid - Thrust + 2 connections"),INDEX(Hyb_Tech,MATCH(_xlpm.kod,Hyb_Code,0)),FU$72),FU$72))</f>
        <v>4</v>
      </c>
      <c r="FV84" s="88" cm="1">
        <f t="array" ref="FV84">_xlfn.LET(_xlpm.rad,$FO83+1,_xlpm.typ,INDEX($E$20:$E$68,_xlpm.rad),_xlpm.kod,INDEX(N$19:N$68,_xlpm.rad),_xlpm.del,INDEX($F$19:$F$68,_xlpm.rad),IFERROR(IF(AND(_xlpm.typ="H",_xlpm.kod&lt;&gt;"",_xlpm.del&lt;&gt;"Hybrid - Thrust + 2 connections"),INDEX(Hyb_Tech,MATCH(_xlpm.kod,Hyb_Code,0)),FV$72),FV$72))</f>
        <v>5</v>
      </c>
      <c r="FW84" s="88" cm="1">
        <f t="array" ref="FW84">_xlfn.LET(_xlpm.rad,$FO83+1,_xlpm.typ,INDEX($E$20:$E$68,_xlpm.rad),_xlpm.kod,INDEX(O$19:O$68,_xlpm.rad),_xlpm.del,INDEX($F$19:$F$68,_xlpm.rad),IFERROR(IF(AND(_xlpm.typ="H",_xlpm.kod&lt;&gt;"",_xlpm.del&lt;&gt;"Hybrid - Thrust + 2 connections"),INDEX(Hyb_Tech,MATCH(_xlpm.kod,Hyb_Code,0)),FW$72),FW$72))</f>
        <v>6</v>
      </c>
      <c r="FX84" s="88" cm="1">
        <f t="array" ref="FX84">_xlfn.LET(_xlpm.rad,$FO83+1,_xlpm.typ,INDEX($E$20:$E$68,_xlpm.rad),_xlpm.kod,INDEX(P$19:P$68,_xlpm.rad),_xlpm.del,INDEX($F$19:$F$68,_xlpm.rad),IFERROR(IF(AND(_xlpm.typ="H",_xlpm.kod&lt;&gt;"",_xlpm.del&lt;&gt;"Hybrid - Thrust + 2 connections"),INDEX(Hyb_Tech,MATCH(_xlpm.kod,Hyb_Code,0)),FX$72),FX$72))</f>
        <v>7</v>
      </c>
      <c r="FY84" s="88" cm="1">
        <f t="array" ref="FY84">_xlfn.LET(_xlpm.rad,$FO83+1,_xlpm.typ,INDEX($E$20:$E$68,_xlpm.rad),_xlpm.kod,INDEX(Q$19:Q$68,_xlpm.rad),_xlpm.del,INDEX($F$19:$F$68,_xlpm.rad),IFERROR(IF(AND(_xlpm.typ="H",_xlpm.kod&lt;&gt;"",_xlpm.del&lt;&gt;"Hybrid - Thrust + 2 connections"),INDEX(Hyb_Tech,MATCH(_xlpm.kod,Hyb_Code,0)),FY$72),FY$72))</f>
        <v>8</v>
      </c>
      <c r="FZ84" s="88" cm="1">
        <f t="array" ref="FZ84">_xlfn.LET(_xlpm.rad,$FO83+1,_xlpm.typ,INDEX($E$20:$E$68,_xlpm.rad),_xlpm.kod,INDEX(R$19:R$68,_xlpm.rad),_xlpm.del,INDEX($F$19:$F$68,_xlpm.rad),IFERROR(IF(AND(_xlpm.typ="H",_xlpm.kod&lt;&gt;"",_xlpm.del&lt;&gt;"Hybrid - Thrust + 2 connections"),INDEX(Hyb_Tech,MATCH(_xlpm.kod,Hyb_Code,0)),FZ$72),FZ$72))</f>
        <v>9</v>
      </c>
      <c r="GA84" s="88" cm="1">
        <f t="array" ref="GA84">_xlfn.LET(_xlpm.rad,$FO83+1,_xlpm.typ,INDEX($E$20:$E$68,_xlpm.rad),_xlpm.kod,INDEX(S$19:S$68,_xlpm.rad),_xlpm.del,INDEX($F$19:$F$68,_xlpm.rad),IFERROR(IF(AND(_xlpm.typ="H",_xlpm.kod&lt;&gt;"",_xlpm.del&lt;&gt;"Hybrid - Thrust + 2 connections"),INDEX(Hyb_Tech,MATCH(_xlpm.kod,Hyb_Code,0)),GA$72),GA$72))</f>
        <v>10</v>
      </c>
      <c r="GB84" s="88" cm="1">
        <f t="array" ref="GB84">_xlfn.LET(_xlpm.rad,$FO83+1,_xlpm.typ,INDEX($E$20:$E$68,_xlpm.rad),_xlpm.kod,INDEX(T$19:T$68,_xlpm.rad),_xlpm.del,INDEX($F$19:$F$68,_xlpm.rad),IFERROR(IF(AND(_xlpm.typ="H",_xlpm.kod&lt;&gt;"",_xlpm.del&lt;&gt;"Hybrid - Thrust + 2 connections"),INDEX(Hyb_Tech,MATCH(_xlpm.kod,Hyb_Code,0)),GB$72),GB$72))</f>
        <v>11</v>
      </c>
      <c r="GC84" s="88" cm="1">
        <f t="array" ref="GC84">_xlfn.LET(_xlpm.rad,$FO83+1,_xlpm.typ,INDEX($E$20:$E$68,_xlpm.rad),_xlpm.kod,INDEX(U$19:U$68,_xlpm.rad),_xlpm.del,INDEX($F$19:$F$68,_xlpm.rad),IFERROR(IF(AND(_xlpm.typ="H",_xlpm.kod&lt;&gt;"",_xlpm.del&lt;&gt;"Hybrid - Thrust + 2 connections"),INDEX(Hyb_Tech,MATCH(_xlpm.kod,Hyb_Code,0)),GC$72),GC$72))</f>
        <v>12</v>
      </c>
      <c r="GD84" s="88" cm="1">
        <f t="array" ref="GD84">_xlfn.LET(_xlpm.rad,$FO83+1,_xlpm.typ,INDEX($E$20:$E$68,_xlpm.rad),_xlpm.kod,INDEX(V$19:V$68,_xlpm.rad),_xlpm.del,INDEX($F$19:$F$68,_xlpm.rad),IFERROR(IF(AND(_xlpm.typ="H",_xlpm.kod&lt;&gt;"",_xlpm.del&lt;&gt;"Hybrid - Thrust + 2 connections"),INDEX(Hyb_Tech,MATCH(_xlpm.kod,Hyb_Code,0)),GD$72),GD$72))</f>
        <v>13</v>
      </c>
      <c r="GE84" s="88" cm="1">
        <f t="array" ref="GE84">_xlfn.LET(_xlpm.rad,$FO83+1,_xlpm.typ,INDEX($E$20:$E$68,_xlpm.rad),_xlpm.kod,INDEX(W$19:W$68,_xlpm.rad),_xlpm.del,INDEX($F$19:$F$68,_xlpm.rad),IFERROR(IF(AND(_xlpm.typ="H",_xlpm.kod&lt;&gt;"",_xlpm.del&lt;&gt;"Hybrid - Thrust + 2 connections"),INDEX(Hyb_Tech,MATCH(_xlpm.kod,Hyb_Code,0)),GE$72),GE$72))</f>
        <v>14</v>
      </c>
      <c r="GF84" s="88" cm="1">
        <f t="array" ref="GF84">_xlfn.LET(_xlpm.rad,$FO83+1,_xlpm.typ,INDEX($E$20:$E$68,_xlpm.rad),_xlpm.kod,INDEX(X$19:X$68,_xlpm.rad),_xlpm.del,INDEX($F$19:$F$68,_xlpm.rad),IFERROR(IF(AND(_xlpm.typ="H",_xlpm.kod&lt;&gt;"",_xlpm.del&lt;&gt;"Hybrid - Thrust + 2 connections"),INDEX(Hyb_Tech,MATCH(_xlpm.kod,Hyb_Code,0)),GF$72),GF$72))</f>
        <v>15</v>
      </c>
      <c r="GG84" s="88" cm="1">
        <f t="array" ref="GG84">_xlfn.LET(_xlpm.rad,$FO83+1,_xlpm.typ,INDEX($E$20:$E$68,_xlpm.rad),_xlpm.kod,INDEX(Y$19:Y$68,_xlpm.rad),_xlpm.del,INDEX($F$19:$F$68,_xlpm.rad),IFERROR(IF(AND(_xlpm.typ="H",_xlpm.kod&lt;&gt;"",_xlpm.del&lt;&gt;"Hybrid - Thrust + 2 connections"),INDEX(Hyb_Tech,MATCH(_xlpm.kod,Hyb_Code,0)),GG$72),GG$72))</f>
        <v>16</v>
      </c>
      <c r="GH84" s="88" cm="1">
        <f t="array" ref="GH84">_xlfn.LET(_xlpm.rad,$FO83+1,_xlpm.typ,INDEX($E$20:$E$68,_xlpm.rad),_xlpm.kod,INDEX(Z$19:Z$68,_xlpm.rad),_xlpm.del,INDEX($F$19:$F$68,_xlpm.rad),IFERROR(IF(AND(_xlpm.typ="H",_xlpm.kod&lt;&gt;"",_xlpm.del&lt;&gt;"Hybrid - Thrust + 2 connections"),INDEX(Hyb_Tech,MATCH(_xlpm.kod,Hyb_Code,0)),GH$72),GH$72))</f>
        <v>17</v>
      </c>
      <c r="GI84" s="88" cm="1">
        <f t="array" ref="GI84">_xlfn.LET(_xlpm.rad,$FO83+1,_xlpm.typ,INDEX($E$20:$E$68,_xlpm.rad),_xlpm.kod,INDEX(AA$19:AA$68,_xlpm.rad),_xlpm.del,INDEX($F$19:$F$68,_xlpm.rad),IFERROR(IF(AND(_xlpm.typ="H",_xlpm.kod&lt;&gt;"",_xlpm.del&lt;&gt;"Hybrid - Thrust + 2 connections"),INDEX(Hyb_Tech,MATCH(_xlpm.kod,Hyb_Code,0)),GI$72),GI$72))</f>
        <v>18</v>
      </c>
      <c r="GJ84" s="88" cm="1">
        <f t="array" ref="GJ84">_xlfn.LET(_xlpm.rad,$FO83+1,_xlpm.typ,INDEX($E$20:$E$68,_xlpm.rad),_xlpm.kod,INDEX(AB$19:AB$68,_xlpm.rad),_xlpm.del,INDEX($F$19:$F$68,_xlpm.rad),IFERROR(IF(AND(_xlpm.typ="H",_xlpm.kod&lt;&gt;"",_xlpm.del&lt;&gt;"Hybrid - Thrust + 2 connections"),INDEX(Hyb_Tech,MATCH(_xlpm.kod,Hyb_Code,0)),GJ$72),GJ$72))</f>
        <v>19</v>
      </c>
      <c r="GK84" s="88" cm="1">
        <f t="array" ref="GK84">_xlfn.LET(_xlpm.rad,$FO83+1,_xlpm.typ,INDEX($E$20:$E$68,_xlpm.rad),_xlpm.kod,INDEX(AC$19:AC$68,_xlpm.rad),_xlpm.del,INDEX($F$19:$F$68,_xlpm.rad),IFERROR(IF(AND(_xlpm.typ="H",_xlpm.kod&lt;&gt;"",_xlpm.del&lt;&gt;"Hybrid - Thrust + 2 connections"),INDEX(Hyb_Tech,MATCH(_xlpm.kod,Hyb_Code,0)),GK$72),GK$72))</f>
        <v>20</v>
      </c>
      <c r="GL84" s="88" cm="1">
        <f t="array" ref="GL84">_xlfn.LET(_xlpm.rad,$FO83+1,_xlpm.typ,INDEX($E$20:$E$68,_xlpm.rad),_xlpm.kod,INDEX(AD$19:AD$68,_xlpm.rad),_xlpm.del,INDEX($F$19:$F$68,_xlpm.rad),IFERROR(IF(AND(_xlpm.typ="H",_xlpm.kod&lt;&gt;"",_xlpm.del&lt;&gt;"Hybrid - Thrust + 2 connections"),INDEX(Hyb_Tech,MATCH(_xlpm.kod,Hyb_Code,0)),GL$72),GL$72))</f>
        <v>21</v>
      </c>
      <c r="GM84" s="88" cm="1">
        <f t="array" ref="GM84">_xlfn.LET(_xlpm.rad,$FO83+1,_xlpm.typ,INDEX($E$20:$E$68,_xlpm.rad),_xlpm.kod,INDEX(AE$19:AE$68,_xlpm.rad),_xlpm.del,INDEX($F$19:$F$68,_xlpm.rad),IFERROR(IF(AND(_xlpm.typ="H",_xlpm.kod&lt;&gt;"",_xlpm.del&lt;&gt;"Hybrid - Thrust + 2 connections"),INDEX(Hyb_Tech,MATCH(_xlpm.kod,Hyb_Code,0)),GM$72),GM$72))</f>
        <v>22</v>
      </c>
      <c r="GN84" s="88" cm="1">
        <f t="array" ref="GN84">_xlfn.LET(_xlpm.rad,$FO83+1,_xlpm.typ,INDEX($E$20:$E$68,_xlpm.rad),_xlpm.kod,INDEX(AF$19:AF$68,_xlpm.rad),_xlpm.del,INDEX($F$19:$F$68,_xlpm.rad),IFERROR(IF(AND(_xlpm.typ="H",_xlpm.kod&lt;&gt;"",_xlpm.del&lt;&gt;"Hybrid - Thrust + 2 connections"),INDEX(Hyb_Tech,MATCH(_xlpm.kod,Hyb_Code,0)),GN$72),GN$72))</f>
        <v>23</v>
      </c>
      <c r="GO84" s="88" cm="1">
        <f t="array" ref="GO84">_xlfn.LET(_xlpm.rad,$FO83+1,_xlpm.typ,INDEX($E$20:$E$68,_xlpm.rad),_xlpm.kod,INDEX(AG$19:AG$68,_xlpm.rad),_xlpm.del,INDEX($F$19:$F$68,_xlpm.rad),IFERROR(IF(AND(_xlpm.typ="H",_xlpm.kod&lt;&gt;"",_xlpm.del&lt;&gt;"Hybrid - Thrust + 2 connections"),INDEX(Hyb_Tech,MATCH(_xlpm.kod,Hyb_Code,0)),GO$72),GO$72))</f>
        <v>24</v>
      </c>
      <c r="GP84" s="88" cm="1">
        <f t="array" ref="GP84">_xlfn.LET(_xlpm.rad,$FO83+1,_xlpm.typ,INDEX($E$20:$E$68,_xlpm.rad),_xlpm.kod,INDEX(AH$19:AH$68,_xlpm.rad),_xlpm.del,INDEX($F$19:$F$68,_xlpm.rad),IFERROR(IF(AND(_xlpm.typ="H",_xlpm.kod&lt;&gt;"",_xlpm.del&lt;&gt;"Hybrid - Thrust + 2 connections"),INDEX(Hyb_Tech,MATCH(_xlpm.kod,Hyb_Code,0)),GP$72),GP$72))</f>
        <v>25</v>
      </c>
      <c r="GQ84" s="88" cm="1">
        <f t="array" ref="GQ84">_xlfn.LET(_xlpm.rad,$FO83+1,_xlpm.typ,INDEX($E$20:$E$68,_xlpm.rad),_xlpm.kod,INDEX(AI$19:AI$68,_xlpm.rad),_xlpm.del,INDEX($F$19:$F$68,_xlpm.rad),IFERROR(IF(AND(_xlpm.typ="H",_xlpm.kod&lt;&gt;"",_xlpm.del&lt;&gt;"Hybrid - Thrust + 2 connections"),INDEX(Hyb_Tech,MATCH(_xlpm.kod,Hyb_Code,0)),GQ$72),GQ$72))</f>
        <v>26</v>
      </c>
      <c r="GR84" s="88" cm="1">
        <f t="array" ref="GR84">_xlfn.LET(_xlpm.rad,$FO83+1,_xlpm.typ,INDEX($E$20:$E$68,_xlpm.rad),_xlpm.kod,INDEX(AJ$19:AJ$68,_xlpm.rad),_xlpm.del,INDEX($F$19:$F$68,_xlpm.rad),IFERROR(IF(AND(_xlpm.typ="H",_xlpm.kod&lt;&gt;"",_xlpm.del&lt;&gt;"Hybrid - Thrust + 2 connections"),INDEX(Hyb_Tech,MATCH(_xlpm.kod,Hyb_Code,0)),GR$72),GR$72))</f>
        <v>27</v>
      </c>
      <c r="GS84" s="88" cm="1">
        <f t="array" ref="GS84">_xlfn.LET(_xlpm.rad,$FO83+1,_xlpm.typ,INDEX($E$20:$E$68,_xlpm.rad),_xlpm.kod,INDEX(AK$19:AK$68,_xlpm.rad),_xlpm.del,INDEX($F$19:$F$68,_xlpm.rad),IFERROR(IF(AND(_xlpm.typ="H",_xlpm.kod&lt;&gt;"",_xlpm.del&lt;&gt;"Hybrid - Thrust + 2 connections"),INDEX(Hyb_Tech,MATCH(_xlpm.kod,Hyb_Code,0)),GS$72),GS$72))</f>
        <v>28</v>
      </c>
      <c r="GT84" s="88" cm="1">
        <f t="array" ref="GT84">_xlfn.LET(_xlpm.rad,$FO83+1,_xlpm.typ,INDEX($E$20:$E$68,_xlpm.rad),_xlpm.kod,INDEX(AL$19:AL$68,_xlpm.rad),_xlpm.del,INDEX($F$19:$F$68,_xlpm.rad),IFERROR(IF(AND(_xlpm.typ="H",_xlpm.kod&lt;&gt;"",_xlpm.del&lt;&gt;"Hybrid - Thrust + 2 connections"),INDEX(Hyb_Tech,MATCH(_xlpm.kod,Hyb_Code,0)),GT$72),GT$72))</f>
        <v>29</v>
      </c>
      <c r="GU84" s="88" cm="1">
        <f t="array" ref="GU84">_xlfn.LET(_xlpm.rad,$FO83+1,_xlpm.typ,INDEX($E$20:$E$68,_xlpm.rad),_xlpm.kod,INDEX(AM$19:AM$68,_xlpm.rad),_xlpm.del,INDEX($F$19:$F$68,_xlpm.rad),IFERROR(IF(AND(_xlpm.typ="H",_xlpm.kod&lt;&gt;"",_xlpm.del&lt;&gt;"Hybrid - Thrust + 2 connections"),INDEX(Hyb_Tech,MATCH(_xlpm.kod,Hyb_Code,0)),GU$72),GU$72))</f>
        <v>30</v>
      </c>
    </row>
    <row r="85" spans="5:203" ht="12.75" customHeight="1" x14ac:dyDescent="0.35">
      <c r="EG85" s="88">
        <f t="shared" ref="EG85" si="2900">COUNTIF(EK85:FN85,0.3)</f>
        <v>0</v>
      </c>
      <c r="EH85" s="88">
        <f t="shared" ref="EH85" si="2901">COUNTIF(EK85:FN85,0.5)</f>
        <v>0</v>
      </c>
      <c r="EI85" s="88" t="str">
        <f t="shared" ref="EI85" si="2902">IF(AND(T17="",OR(EG85&gt;5,EH85&gt;5)),"X",IF(SUM(EK85:FN85)&gt;5,"X",""))</f>
        <v/>
      </c>
      <c r="EK85" s="88" t="str">
        <f t="shared" ref="EK85" si="2903">IF($T$5="",IF(RIGHT(J31,4)="*0,5",0.5,IF(RIGHT(J31,4)="*0,3",0.3,IF(EK32&lt;&gt;"",1,""))),IF(EK32&lt;&gt;"",IF(OR(RIGHT(J31,4)="*0,5",RIGHT(J31,4)="*0,3"),0.5,1),""))</f>
        <v/>
      </c>
      <c r="EL85" s="88" t="str">
        <f t="shared" ref="EL85" si="2904">IF($T$5="",IF(RIGHT(K31,4)="*0,5",0.5,IF(RIGHT(K31,4)="*0,3",0.3,IF(EL32&lt;&gt;"",1,""))),IF(EL32&lt;&gt;"",IF(OR(RIGHT(K31,4)="*0,5",RIGHT(K31,4)="*0,3"),0.5,1),""))</f>
        <v/>
      </c>
      <c r="EM85" s="88" t="str">
        <f t="shared" ref="EM85" si="2905">IF($T$5="",IF(RIGHT(L31,4)="*0,5",0.5,IF(RIGHT(L31,4)="*0,3",0.3,IF(EM32&lt;&gt;"",1,""))),IF(EM32&lt;&gt;"",IF(OR(RIGHT(L31,4)="*0,5",RIGHT(L31,4)="*0,3"),0.5,1),""))</f>
        <v/>
      </c>
      <c r="EN85" s="88" t="str">
        <f t="shared" ref="EN85" si="2906">IF($T$5="",IF(RIGHT(M31,4)="*0,5",0.5,IF(RIGHT(M31,4)="*0,3",0.3,IF(EN32&lt;&gt;"",1,""))),IF(EN32&lt;&gt;"",IF(OR(RIGHT(M31,4)="*0,5",RIGHT(M31,4)="*0,3"),0.5,1),""))</f>
        <v/>
      </c>
      <c r="EO85" s="88" t="str">
        <f t="shared" ref="EO85" si="2907">IF($T$5="",IF(RIGHT(N31,4)="*0,5",0.5,IF(RIGHT(N31,4)="*0,3",0.3,IF(EO32&lt;&gt;"",1,""))),IF(EO32&lt;&gt;"",IF(OR(RIGHT(N31,4)="*0,5",RIGHT(N31,4)="*0,3"),0.5,1),""))</f>
        <v/>
      </c>
      <c r="EP85" s="88" t="str">
        <f t="shared" ref="EP85" si="2908">IF($T$5="",IF(RIGHT(O31,4)="*0,5",0.5,IF(RIGHT(O31,4)="*0,3",0.3,IF(EP32&lt;&gt;"",1,""))),IF(EP32&lt;&gt;"",IF(OR(RIGHT(O31,4)="*0,5",RIGHT(O31,4)="*0,3"),0.5,1),""))</f>
        <v/>
      </c>
      <c r="EQ85" s="88" t="str">
        <f t="shared" ref="EQ85" si="2909">IF($T$5="",IF(RIGHT(P31,4)="*0,5",0.5,IF(RIGHT(P31,4)="*0,3",0.3,IF(EQ32&lt;&gt;"",1,""))),IF(EQ32&lt;&gt;"",IF(OR(RIGHT(P31,4)="*0,5",RIGHT(P31,4)="*0,3"),0.5,1),""))</f>
        <v/>
      </c>
      <c r="ER85" s="88" t="str">
        <f t="shared" ref="ER85" si="2910">IF($T$5="",IF(RIGHT(Q31,4)="*0,5",0.5,IF(RIGHT(Q31,4)="*0,3",0.3,IF(ER32&lt;&gt;"",1,""))),IF(ER32&lt;&gt;"",IF(OR(RIGHT(Q31,4)="*0,5",RIGHT(Q31,4)="*0,3"),0.5,1),""))</f>
        <v/>
      </c>
      <c r="ES85" s="88" t="str">
        <f t="shared" ref="ES85" si="2911">IF($T$5="",IF(RIGHT(R31,4)="*0,5",0.5,IF(RIGHT(R31,4)="*0,3",0.3,IF(ES32&lt;&gt;"",1,""))),IF(ES32&lt;&gt;"",IF(OR(RIGHT(R31,4)="*0,5",RIGHT(R31,4)="*0,3"),0.5,1),""))</f>
        <v/>
      </c>
      <c r="ET85" s="88" t="str">
        <f t="shared" ref="ET85" si="2912">IF($T$5="",IF(RIGHT(S31,4)="*0,5",0.5,IF(RIGHT(S31,4)="*0,3",0.3,IF(ET32&lt;&gt;"",1,""))),IF(ET32&lt;&gt;"",IF(OR(RIGHT(S31,4)="*0,5",RIGHT(S31,4)="*0,3"),0.5,1),""))</f>
        <v/>
      </c>
      <c r="EU85" s="88" t="str">
        <f t="shared" ref="EU85" si="2913">IF($T$5="",IF(RIGHT(T31,4)="*0,5",0.5,IF(RIGHT(T31,4)="*0,3",0.3,IF(EU32&lt;&gt;"",1,""))),IF(EU32&lt;&gt;"",IF(OR(RIGHT(T31,4)="*0,5",RIGHT(T31,4)="*0,3"),0.5,1),""))</f>
        <v/>
      </c>
      <c r="EV85" s="88" t="str">
        <f t="shared" ref="EV85" si="2914">IF($T$5="",IF(RIGHT(U31,4)="*0,5",0.5,IF(RIGHT(U31,4)="*0,3",0.3,IF(EV32&lt;&gt;"",1,""))),IF(EV32&lt;&gt;"",IF(OR(RIGHT(U31,4)="*0,5",RIGHT(U31,4)="*0,3"),0.5,1),""))</f>
        <v/>
      </c>
      <c r="EW85" s="88" t="str">
        <f t="shared" ref="EW85" si="2915">IF($T$5="",IF(RIGHT(V31,4)="*0,5",0.5,IF(RIGHT(V31,4)="*0,3",0.3,IF(EW32&lt;&gt;"",1,""))),IF(EW32&lt;&gt;"",IF(OR(RIGHT(V31,4)="*0,5",RIGHT(V31,4)="*0,3"),0.5,1),""))</f>
        <v/>
      </c>
      <c r="EX85" s="88" t="str">
        <f t="shared" ref="EX85" si="2916">IF($T$5="",IF(RIGHT(W31,4)="*0,5",0.5,IF(RIGHT(W31,4)="*0,3",0.3,IF(EX32&lt;&gt;"",1,""))),IF(EX32&lt;&gt;"",IF(OR(RIGHT(W31,4)="*0,5",RIGHT(W31,4)="*0,3"),0.5,1),""))</f>
        <v/>
      </c>
      <c r="EY85" s="88" t="str">
        <f t="shared" ref="EY85" si="2917">IF($T$5="",IF(RIGHT(X31,4)="*0,5",0.5,IF(RIGHT(X31,4)="*0,3",0.3,IF(EY32&lt;&gt;"",1,""))),IF(EY32&lt;&gt;"",IF(OR(RIGHT(X31,4)="*0,5",RIGHT(X31,4)="*0,3"),0.5,1),""))</f>
        <v/>
      </c>
      <c r="EZ85" s="88" t="str">
        <f t="shared" ref="EZ85" si="2918">IF($T$5="",IF(RIGHT(Y31,4)="*0,5",0.5,IF(RIGHT(Y31,4)="*0,3",0.3,IF(EZ32&lt;&gt;"",1,""))),IF(EZ32&lt;&gt;"",IF(OR(RIGHT(Y31,4)="*0,5",RIGHT(Y31,4)="*0,3"),0.5,1),""))</f>
        <v/>
      </c>
      <c r="FA85" s="88" t="str">
        <f t="shared" ref="FA85" si="2919">IF($T$5="",IF(RIGHT(Z31,4)="*0,5",0.5,IF(RIGHT(Z31,4)="*0,3",0.3,IF(FA32&lt;&gt;"",1,""))),IF(FA32&lt;&gt;"",IF(OR(RIGHT(Z31,4)="*0,5",RIGHT(Z31,4)="*0,3"),0.5,1),""))</f>
        <v/>
      </c>
      <c r="FB85" s="88" t="str">
        <f t="shared" ref="FB85" si="2920">IF($T$5="",IF(RIGHT(AA31,4)="*0,5",0.5,IF(RIGHT(AA31,4)="*0,3",0.3,IF(FB32&lt;&gt;"",1,""))),IF(FB32&lt;&gt;"",IF(OR(RIGHT(AA31,4)="*0,5",RIGHT(AA31,4)="*0,3"),0.5,1),""))</f>
        <v/>
      </c>
      <c r="FC85" s="88" t="str">
        <f t="shared" ref="FC85" si="2921">IF($T$5="",IF(RIGHT(AB31,4)="*0,5",0.5,IF(RIGHT(AB31,4)="*0,3",0.3,IF(FC32&lt;&gt;"",1,""))),IF(FC32&lt;&gt;"",IF(OR(RIGHT(AB31,4)="*0,5",RIGHT(AB31,4)="*0,3"),0.5,1),""))</f>
        <v/>
      </c>
      <c r="FD85" s="88" t="str">
        <f t="shared" ref="FD85" si="2922">IF($T$5="",IF(RIGHT(AC31,4)="*0,5",0.5,IF(RIGHT(AC31,4)="*0,3",0.3,IF(FD32&lt;&gt;"",1,""))),IF(FD32&lt;&gt;"",IF(OR(RIGHT(AC31,4)="*0,5",RIGHT(AC31,4)="*0,3"),0.5,1),""))</f>
        <v/>
      </c>
      <c r="FE85" s="88" t="str">
        <f t="shared" ref="FE85" si="2923">IF($T$5="",IF(RIGHT(AD31,4)="*0,5",0.5,IF(RIGHT(AD31,4)="*0,3",0.3,IF(FE32&lt;&gt;"",1,""))),IF(FE32&lt;&gt;"",IF(OR(RIGHT(AD31,4)="*0,5",RIGHT(AD31,4)="*0,3"),0.5,1),""))</f>
        <v/>
      </c>
      <c r="FF85" s="88" t="str">
        <f t="shared" ref="FF85" si="2924">IF($T$5="",IF(RIGHT(AE31,4)="*0,5",0.5,IF(RIGHT(AE31,4)="*0,3",0.3,IF(FF32&lt;&gt;"",1,""))),IF(FF32&lt;&gt;"",IF(OR(RIGHT(AE31,4)="*0,5",RIGHT(AE31,4)="*0,3"),0.5,1),""))</f>
        <v/>
      </c>
      <c r="FG85" s="88" t="str">
        <f t="shared" ref="FG85" si="2925">IF($T$5="",IF(RIGHT(AF31,4)="*0,5",0.5,IF(RIGHT(AF31,4)="*0,3",0.3,IF(FG32&lt;&gt;"",1,""))),IF(FG32&lt;&gt;"",IF(OR(RIGHT(AF31,4)="*0,5",RIGHT(AF31,4)="*0,3"),0.5,1),""))</f>
        <v/>
      </c>
      <c r="FH85" s="88" t="str">
        <f t="shared" ref="FH85" si="2926">IF($T$5="",IF(RIGHT(AG31,4)="*0,5",0.5,IF(RIGHT(AG31,4)="*0,3",0.3,IF(FH32&lt;&gt;"",1,""))),IF(FH32&lt;&gt;"",IF(OR(RIGHT(AG31,4)="*0,5",RIGHT(AG31,4)="*0,3"),0.5,1),""))</f>
        <v/>
      </c>
      <c r="FI85" s="88" t="str">
        <f t="shared" ref="FI85" si="2927">IF($T$5="",IF(RIGHT(AH31,4)="*0,5",0.5,IF(RIGHT(AH31,4)="*0,3",0.3,IF(FI32&lt;&gt;"",1,""))),IF(FI32&lt;&gt;"",IF(OR(RIGHT(AH31,4)="*0,5",RIGHT(AH31,4)="*0,3"),0.5,1),""))</f>
        <v/>
      </c>
      <c r="FJ85" s="88" t="str">
        <f t="shared" ref="FJ85" si="2928">IF($T$5="",IF(RIGHT(AI31,4)="*0,5",0.5,IF(RIGHT(AI31,4)="*0,3",0.3,IF(FJ32&lt;&gt;"",1,""))),IF(FJ32&lt;&gt;"",IF(OR(RIGHT(AI31,4)="*0,5",RIGHT(AI31,4)="*0,3"),0.5,1),""))</f>
        <v/>
      </c>
      <c r="FK85" s="88" t="str">
        <f t="shared" ref="FK85" si="2929">IF($T$5="",IF(RIGHT(AJ31,4)="*0,5",0.5,IF(RIGHT(AJ31,4)="*0,3",0.3,IF(FK32&lt;&gt;"",1,""))),IF(FK32&lt;&gt;"",IF(OR(RIGHT(AJ31,4)="*0,5",RIGHT(AJ31,4)="*0,3"),0.5,1),""))</f>
        <v/>
      </c>
      <c r="FL85" s="88" t="str">
        <f t="shared" ref="FL85" si="2930">IF($T$5="",IF(RIGHT(AK31,4)="*0,5",0.5,IF(RIGHT(AK31,4)="*0,3",0.3,IF(FL32&lt;&gt;"",1,""))),IF(FL32&lt;&gt;"",IF(OR(RIGHT(AK31,4)="*0,5",RIGHT(AK31,4)="*0,3"),0.5,1),""))</f>
        <v/>
      </c>
      <c r="FM85" s="88" t="str">
        <f t="shared" ref="FM85" si="2931">IF($T$5="",IF(RIGHT(AL31,4)="*0,5",0.5,IF(RIGHT(AL31,4)="*0,3",0.3,IF(FM32&lt;&gt;"",1,""))),IF(FM32&lt;&gt;"",IF(OR(RIGHT(AL31,4)="*0,5",RIGHT(AL31,4)="*0,3"),0.5,1),""))</f>
        <v/>
      </c>
      <c r="FN85" s="88" t="str">
        <f t="shared" ref="FN85" si="2932">IF($T$5="",IF(RIGHT(AM31,4)="*0,5",0.5,IF(RIGHT(AM31,4)="*0,3",0.3,IF(FN32&lt;&gt;"",1,""))),IF(FN32&lt;&gt;"",IF(OR(RIGHT(AM31,4)="*0,5",RIGHT(AM31,4)="*0,3"),0.5,1),""))</f>
        <v/>
      </c>
      <c r="FP85" s="91" t="str" cm="1">
        <f t="array" ref="FP85">IFERROR(IF($T$5="",IF(COUNTIF(FR85:GU85,1)&gt;$FP$18,INDEX($FR$73:$GU$170,$FO83*5/2+1,MATCH(1,FR85:GU85,0)),""),IF(SUM(FR85:GU85)&gt;2,INDEX($FR$73:$GU$170,$FO83*5/2+1,MATCH(1,FR85:GU85,0)),"")),"")</f>
        <v/>
      </c>
      <c r="FQ85" s="88" t="str" cm="1">
        <f t="array" ref="FQ85">IFERROR(IF(LEFT(FP85,1)="C",IF(RIGHT(FP85,1)="+",LEFT(FP85,LEN(FP85)-1),CONCATENATE(FP85,"+")),IF(SUM($FR85:$GU85)&gt;$FP$18,INDEX($FR$73:$GU$170,$FO83*5/2+1,MATCH(0.5,FR85:GU85,0)),"")),"")</f>
        <v/>
      </c>
      <c r="FR85" s="88" t="str">
        <f t="shared" ref="FR85:GU85" si="2933">IF(AND($BV$6="D",LEFT(FR83,1)="C"),IF(COUNTIF($FR84:$GU84,FR84)&gt;$FP$18,INDEX(Hyb_Tech_Value,MATCH(FR83,Hyb_Code,0)),""),IF(COUNTIF($FR84:$GU84,FR84)&gt;$FP$18,INDEX(Hyb_Tech_Value,MATCH(FR83,Hyb_Code,0)),""))</f>
        <v/>
      </c>
      <c r="FS85" s="88" t="str">
        <f t="shared" si="2933"/>
        <v/>
      </c>
      <c r="FT85" s="88" t="str">
        <f t="shared" si="2933"/>
        <v/>
      </c>
      <c r="FU85" s="88" t="str">
        <f t="shared" si="2933"/>
        <v/>
      </c>
      <c r="FV85" s="88" t="str">
        <f t="shared" si="2933"/>
        <v/>
      </c>
      <c r="FW85" s="88" t="str">
        <f t="shared" si="2933"/>
        <v/>
      </c>
      <c r="FX85" s="88" t="str">
        <f t="shared" si="2933"/>
        <v/>
      </c>
      <c r="FY85" s="88" t="str">
        <f t="shared" si="2933"/>
        <v/>
      </c>
      <c r="FZ85" s="88" t="str">
        <f t="shared" si="2933"/>
        <v/>
      </c>
      <c r="GA85" s="88" t="str">
        <f t="shared" si="2933"/>
        <v/>
      </c>
      <c r="GB85" s="88" t="str">
        <f t="shared" si="2933"/>
        <v/>
      </c>
      <c r="GC85" s="88" t="str">
        <f t="shared" si="2933"/>
        <v/>
      </c>
      <c r="GD85" s="88" t="str">
        <f t="shared" si="2933"/>
        <v/>
      </c>
      <c r="GE85" s="88" t="str">
        <f t="shared" si="2933"/>
        <v/>
      </c>
      <c r="GF85" s="88" t="str">
        <f t="shared" si="2933"/>
        <v/>
      </c>
      <c r="GG85" s="88" t="str">
        <f t="shared" si="2933"/>
        <v/>
      </c>
      <c r="GH85" s="88" t="str">
        <f t="shared" si="2933"/>
        <v/>
      </c>
      <c r="GI85" s="88" t="str">
        <f t="shared" si="2933"/>
        <v/>
      </c>
      <c r="GJ85" s="88" t="str">
        <f t="shared" si="2933"/>
        <v/>
      </c>
      <c r="GK85" s="88" t="str">
        <f t="shared" si="2933"/>
        <v/>
      </c>
      <c r="GL85" s="88" t="str">
        <f t="shared" si="2933"/>
        <v/>
      </c>
      <c r="GM85" s="88" t="str">
        <f t="shared" si="2933"/>
        <v/>
      </c>
      <c r="GN85" s="88" t="str">
        <f t="shared" si="2933"/>
        <v/>
      </c>
      <c r="GO85" s="88" t="str">
        <f t="shared" si="2933"/>
        <v/>
      </c>
      <c r="GP85" s="88" t="str">
        <f t="shared" si="2933"/>
        <v/>
      </c>
      <c r="GQ85" s="88" t="str">
        <f t="shared" si="2933"/>
        <v/>
      </c>
      <c r="GR85" s="88" t="str">
        <f t="shared" si="2933"/>
        <v/>
      </c>
      <c r="GS85" s="88" t="str">
        <f t="shared" si="2933"/>
        <v/>
      </c>
      <c r="GT85" s="88" t="str">
        <f t="shared" si="2933"/>
        <v/>
      </c>
      <c r="GU85" s="88" t="str">
        <f t="shared" si="2933"/>
        <v/>
      </c>
    </row>
    <row r="86" spans="5:203" x14ac:dyDescent="0.35">
      <c r="EO86" s="88"/>
      <c r="EP86" s="88"/>
      <c r="EQ86" s="88"/>
      <c r="ER86" s="88"/>
      <c r="ES86" s="88"/>
      <c r="ET86" s="88"/>
      <c r="EU86" s="88"/>
      <c r="EV86" s="88"/>
      <c r="EW86" s="88"/>
      <c r="EX86" s="88"/>
      <c r="EY86" s="88"/>
      <c r="EZ86" s="88"/>
      <c r="FA86" s="88"/>
      <c r="FB86" s="88"/>
      <c r="FC86" s="88"/>
      <c r="FD86" s="88"/>
      <c r="FE86" s="88"/>
      <c r="FF86" s="88"/>
      <c r="FG86" s="88"/>
      <c r="FH86" s="88"/>
      <c r="FI86" s="88"/>
      <c r="FJ86" s="88"/>
      <c r="FK86" s="88"/>
      <c r="FL86" s="88"/>
      <c r="FM86" s="88"/>
      <c r="FN86" s="88"/>
      <c r="FQ86" s="88"/>
      <c r="FR86" s="88" t="str">
        <f t="shared" ref="FR86:GU86" si="2934">IFERROR(IF(LEFT(FR83,FIND("*",FR83)-1)=LEFT($FQ$73,FIND("*",$FQ$73)-1),0.5,""),"")</f>
        <v/>
      </c>
      <c r="FS86" s="88" t="str">
        <f t="shared" si="2934"/>
        <v/>
      </c>
      <c r="FT86" s="88" t="str">
        <f t="shared" si="2934"/>
        <v/>
      </c>
      <c r="FU86" s="88" t="str">
        <f t="shared" si="2934"/>
        <v/>
      </c>
      <c r="FV86" s="88" t="str">
        <f t="shared" si="2934"/>
        <v/>
      </c>
      <c r="FW86" s="88" t="str">
        <f t="shared" si="2934"/>
        <v/>
      </c>
      <c r="FX86" s="88" t="str">
        <f t="shared" si="2934"/>
        <v/>
      </c>
      <c r="FY86" s="88" t="str">
        <f t="shared" si="2934"/>
        <v/>
      </c>
      <c r="FZ86" s="88" t="str">
        <f t="shared" si="2934"/>
        <v/>
      </c>
      <c r="GA86" s="88" t="str">
        <f t="shared" si="2934"/>
        <v/>
      </c>
      <c r="GB86" s="88" t="str">
        <f t="shared" si="2934"/>
        <v/>
      </c>
      <c r="GC86" s="88" t="str">
        <f t="shared" si="2934"/>
        <v/>
      </c>
      <c r="GD86" s="88" t="str">
        <f t="shared" si="2934"/>
        <v/>
      </c>
      <c r="GE86" s="88" t="str">
        <f t="shared" si="2934"/>
        <v/>
      </c>
      <c r="GF86" s="88" t="str">
        <f t="shared" si="2934"/>
        <v/>
      </c>
      <c r="GG86" s="88" t="str">
        <f t="shared" si="2934"/>
        <v/>
      </c>
      <c r="GH86" s="88" t="str">
        <f t="shared" si="2934"/>
        <v/>
      </c>
      <c r="GI86" s="88" t="str">
        <f t="shared" si="2934"/>
        <v/>
      </c>
      <c r="GJ86" s="88" t="str">
        <f t="shared" si="2934"/>
        <v/>
      </c>
      <c r="GK86" s="88" t="str">
        <f t="shared" si="2934"/>
        <v/>
      </c>
      <c r="GL86" s="88" t="str">
        <f t="shared" si="2934"/>
        <v/>
      </c>
      <c r="GM86" s="88" t="str">
        <f t="shared" si="2934"/>
        <v/>
      </c>
      <c r="GN86" s="88" t="str">
        <f t="shared" si="2934"/>
        <v/>
      </c>
      <c r="GO86" s="88" t="str">
        <f t="shared" si="2934"/>
        <v/>
      </c>
      <c r="GP86" s="88" t="str">
        <f t="shared" si="2934"/>
        <v/>
      </c>
      <c r="GQ86" s="88" t="str">
        <f t="shared" si="2934"/>
        <v/>
      </c>
      <c r="GR86" s="88" t="str">
        <f t="shared" si="2934"/>
        <v/>
      </c>
      <c r="GS86" s="88" t="str">
        <f t="shared" si="2934"/>
        <v/>
      </c>
      <c r="GT86" s="88" t="str">
        <f t="shared" si="2934"/>
        <v/>
      </c>
      <c r="GU86" s="88" t="str">
        <f t="shared" si="2934"/>
        <v/>
      </c>
    </row>
    <row r="87" spans="5:203" x14ac:dyDescent="0.35">
      <c r="EG87" s="88">
        <f t="shared" ref="EG87" si="2935">COUNTIF(EK87:FN87,0.3)</f>
        <v>0</v>
      </c>
      <c r="EH87" s="88">
        <f t="shared" ref="EH87" si="2936">COUNTIF(EK87:FN87,0.5)</f>
        <v>0</v>
      </c>
      <c r="EI87" s="88" t="str">
        <f t="shared" ref="EI87" si="2937">IF(AND(T19="",OR(EG87&gt;5,EH87&gt;5)),"X",IF(SUM(EK87:FN87)&gt;5,"X",""))</f>
        <v/>
      </c>
      <c r="EK87" s="88" t="str">
        <f t="shared" ref="EK87" si="2938">IF($T$5="",IF(RIGHT(J33,4)="*0,5",0.5,IF(RIGHT(J33,4)="*0,3",0.3,IF(EK34&lt;&gt;"",1,""))),IF(EK34&lt;&gt;"",IF(OR(RIGHT(J33,4)="*0,5",RIGHT(J33,4)="*0,3"),0.5,1),""))</f>
        <v/>
      </c>
      <c r="EL87" s="88" t="str">
        <f t="shared" ref="EL87" si="2939">IF($T$5="",IF(RIGHT(K33,4)="*0,5",0.5,IF(RIGHT(K33,4)="*0,3",0.3,IF(EL34&lt;&gt;"",1,""))),IF(EL34&lt;&gt;"",IF(OR(RIGHT(K33,4)="*0,5",RIGHT(K33,4)="*0,3"),0.5,1),""))</f>
        <v/>
      </c>
      <c r="EM87" s="88" t="str">
        <f t="shared" ref="EM87" si="2940">IF($T$5="",IF(RIGHT(L33,4)="*0,5",0.5,IF(RIGHT(L33,4)="*0,3",0.3,IF(EM34&lt;&gt;"",1,""))),IF(EM34&lt;&gt;"",IF(OR(RIGHT(L33,4)="*0,5",RIGHT(L33,4)="*0,3"),0.5,1),""))</f>
        <v/>
      </c>
      <c r="EN87" s="88" t="str">
        <f t="shared" ref="EN87" si="2941">IF($T$5="",IF(RIGHT(M33,4)="*0,5",0.5,IF(RIGHT(M33,4)="*0,3",0.3,IF(EN34&lt;&gt;"",1,""))),IF(EN34&lt;&gt;"",IF(OR(RIGHT(M33,4)="*0,5",RIGHT(M33,4)="*0,3"),0.5,1),""))</f>
        <v/>
      </c>
      <c r="EO87" s="88" t="str">
        <f t="shared" ref="EO87" si="2942">IF($T$5="",IF(RIGHT(N33,4)="*0,5",0.5,IF(RIGHT(N33,4)="*0,3",0.3,IF(EO34&lt;&gt;"",1,""))),IF(EO34&lt;&gt;"",IF(OR(RIGHT(N33,4)="*0,5",RIGHT(N33,4)="*0,3"),0.5,1),""))</f>
        <v/>
      </c>
      <c r="EP87" s="88" t="str">
        <f t="shared" ref="EP87" si="2943">IF($T$5="",IF(RIGHT(O33,4)="*0,5",0.5,IF(RIGHT(O33,4)="*0,3",0.3,IF(EP34&lt;&gt;"",1,""))),IF(EP34&lt;&gt;"",IF(OR(RIGHT(O33,4)="*0,5",RIGHT(O33,4)="*0,3"),0.5,1),""))</f>
        <v/>
      </c>
      <c r="EQ87" s="88" t="str">
        <f t="shared" ref="EQ87" si="2944">IF($T$5="",IF(RIGHT(P33,4)="*0,5",0.5,IF(RIGHT(P33,4)="*0,3",0.3,IF(EQ34&lt;&gt;"",1,""))),IF(EQ34&lt;&gt;"",IF(OR(RIGHT(P33,4)="*0,5",RIGHT(P33,4)="*0,3"),0.5,1),""))</f>
        <v/>
      </c>
      <c r="ER87" s="88" t="str">
        <f t="shared" ref="ER87" si="2945">IF($T$5="",IF(RIGHT(Q33,4)="*0,5",0.5,IF(RIGHT(Q33,4)="*0,3",0.3,IF(ER34&lt;&gt;"",1,""))),IF(ER34&lt;&gt;"",IF(OR(RIGHT(Q33,4)="*0,5",RIGHT(Q33,4)="*0,3"),0.5,1),""))</f>
        <v/>
      </c>
      <c r="ES87" s="88" t="str">
        <f t="shared" ref="ES87" si="2946">IF($T$5="",IF(RIGHT(R33,4)="*0,5",0.5,IF(RIGHT(R33,4)="*0,3",0.3,IF(ES34&lt;&gt;"",1,""))),IF(ES34&lt;&gt;"",IF(OR(RIGHT(R33,4)="*0,5",RIGHT(R33,4)="*0,3"),0.5,1),""))</f>
        <v/>
      </c>
      <c r="ET87" s="88" t="str">
        <f t="shared" ref="ET87" si="2947">IF($T$5="",IF(RIGHT(S33,4)="*0,5",0.5,IF(RIGHT(S33,4)="*0,3",0.3,IF(ET34&lt;&gt;"",1,""))),IF(ET34&lt;&gt;"",IF(OR(RIGHT(S33,4)="*0,5",RIGHT(S33,4)="*0,3"),0.5,1),""))</f>
        <v/>
      </c>
      <c r="EU87" s="88" t="str">
        <f t="shared" ref="EU87" si="2948">IF($T$5="",IF(RIGHT(T33,4)="*0,5",0.5,IF(RIGHT(T33,4)="*0,3",0.3,IF(EU34&lt;&gt;"",1,""))),IF(EU34&lt;&gt;"",IF(OR(RIGHT(T33,4)="*0,5",RIGHT(T33,4)="*0,3"),0.5,1),""))</f>
        <v/>
      </c>
      <c r="EV87" s="88" t="str">
        <f t="shared" ref="EV87" si="2949">IF($T$5="",IF(RIGHT(U33,4)="*0,5",0.5,IF(RIGHT(U33,4)="*0,3",0.3,IF(EV34&lt;&gt;"",1,""))),IF(EV34&lt;&gt;"",IF(OR(RIGHT(U33,4)="*0,5",RIGHT(U33,4)="*0,3"),0.5,1),""))</f>
        <v/>
      </c>
      <c r="EW87" s="88" t="str">
        <f t="shared" ref="EW87" si="2950">IF($T$5="",IF(RIGHT(V33,4)="*0,5",0.5,IF(RIGHT(V33,4)="*0,3",0.3,IF(EW34&lt;&gt;"",1,""))),IF(EW34&lt;&gt;"",IF(OR(RIGHT(V33,4)="*0,5",RIGHT(V33,4)="*0,3"),0.5,1),""))</f>
        <v/>
      </c>
      <c r="EX87" s="88" t="str">
        <f t="shared" ref="EX87" si="2951">IF($T$5="",IF(RIGHT(W33,4)="*0,5",0.5,IF(RIGHT(W33,4)="*0,3",0.3,IF(EX34&lt;&gt;"",1,""))),IF(EX34&lt;&gt;"",IF(OR(RIGHT(W33,4)="*0,5",RIGHT(W33,4)="*0,3"),0.5,1),""))</f>
        <v/>
      </c>
      <c r="EY87" s="88" t="str">
        <f t="shared" ref="EY87" si="2952">IF($T$5="",IF(RIGHT(X33,4)="*0,5",0.5,IF(RIGHT(X33,4)="*0,3",0.3,IF(EY34&lt;&gt;"",1,""))),IF(EY34&lt;&gt;"",IF(OR(RIGHT(X33,4)="*0,5",RIGHT(X33,4)="*0,3"),0.5,1),""))</f>
        <v/>
      </c>
      <c r="EZ87" s="88" t="str">
        <f t="shared" ref="EZ87" si="2953">IF($T$5="",IF(RIGHT(Y33,4)="*0,5",0.5,IF(RIGHT(Y33,4)="*0,3",0.3,IF(EZ34&lt;&gt;"",1,""))),IF(EZ34&lt;&gt;"",IF(OR(RIGHT(Y33,4)="*0,5",RIGHT(Y33,4)="*0,3"),0.5,1),""))</f>
        <v/>
      </c>
      <c r="FA87" s="88" t="str">
        <f t="shared" ref="FA87" si="2954">IF($T$5="",IF(RIGHT(Z33,4)="*0,5",0.5,IF(RIGHT(Z33,4)="*0,3",0.3,IF(FA34&lt;&gt;"",1,""))),IF(FA34&lt;&gt;"",IF(OR(RIGHT(Z33,4)="*0,5",RIGHT(Z33,4)="*0,3"),0.5,1),""))</f>
        <v/>
      </c>
      <c r="FB87" s="88" t="str">
        <f t="shared" ref="FB87" si="2955">IF($T$5="",IF(RIGHT(AA33,4)="*0,5",0.5,IF(RIGHT(AA33,4)="*0,3",0.3,IF(FB34&lt;&gt;"",1,""))),IF(FB34&lt;&gt;"",IF(OR(RIGHT(AA33,4)="*0,5",RIGHT(AA33,4)="*0,3"),0.5,1),""))</f>
        <v/>
      </c>
      <c r="FC87" s="88" t="str">
        <f t="shared" ref="FC87" si="2956">IF($T$5="",IF(RIGHT(AB33,4)="*0,5",0.5,IF(RIGHT(AB33,4)="*0,3",0.3,IF(FC34&lt;&gt;"",1,""))),IF(FC34&lt;&gt;"",IF(OR(RIGHT(AB33,4)="*0,5",RIGHT(AB33,4)="*0,3"),0.5,1),""))</f>
        <v/>
      </c>
      <c r="FD87" s="88" t="str">
        <f t="shared" ref="FD87" si="2957">IF($T$5="",IF(RIGHT(AC33,4)="*0,5",0.5,IF(RIGHT(AC33,4)="*0,3",0.3,IF(FD34&lt;&gt;"",1,""))),IF(FD34&lt;&gt;"",IF(OR(RIGHT(AC33,4)="*0,5",RIGHT(AC33,4)="*0,3"),0.5,1),""))</f>
        <v/>
      </c>
      <c r="FE87" s="88" t="str">
        <f t="shared" ref="FE87" si="2958">IF($T$5="",IF(RIGHT(AD33,4)="*0,5",0.5,IF(RIGHT(AD33,4)="*0,3",0.3,IF(FE34&lt;&gt;"",1,""))),IF(FE34&lt;&gt;"",IF(OR(RIGHT(AD33,4)="*0,5",RIGHT(AD33,4)="*0,3"),0.5,1),""))</f>
        <v/>
      </c>
      <c r="FF87" s="88" t="str">
        <f t="shared" ref="FF87" si="2959">IF($T$5="",IF(RIGHT(AE33,4)="*0,5",0.5,IF(RIGHT(AE33,4)="*0,3",0.3,IF(FF34&lt;&gt;"",1,""))),IF(FF34&lt;&gt;"",IF(OR(RIGHT(AE33,4)="*0,5",RIGHT(AE33,4)="*0,3"),0.5,1),""))</f>
        <v/>
      </c>
      <c r="FG87" s="88" t="str">
        <f t="shared" ref="FG87" si="2960">IF($T$5="",IF(RIGHT(AF33,4)="*0,5",0.5,IF(RIGHT(AF33,4)="*0,3",0.3,IF(FG34&lt;&gt;"",1,""))),IF(FG34&lt;&gt;"",IF(OR(RIGHT(AF33,4)="*0,5",RIGHT(AF33,4)="*0,3"),0.5,1),""))</f>
        <v/>
      </c>
      <c r="FH87" s="88" t="str">
        <f t="shared" ref="FH87" si="2961">IF($T$5="",IF(RIGHT(AG33,4)="*0,5",0.5,IF(RIGHT(AG33,4)="*0,3",0.3,IF(FH34&lt;&gt;"",1,""))),IF(FH34&lt;&gt;"",IF(OR(RIGHT(AG33,4)="*0,5",RIGHT(AG33,4)="*0,3"),0.5,1),""))</f>
        <v/>
      </c>
      <c r="FI87" s="88" t="str">
        <f t="shared" ref="FI87" si="2962">IF($T$5="",IF(RIGHT(AH33,4)="*0,5",0.5,IF(RIGHT(AH33,4)="*0,3",0.3,IF(FI34&lt;&gt;"",1,""))),IF(FI34&lt;&gt;"",IF(OR(RIGHT(AH33,4)="*0,5",RIGHT(AH33,4)="*0,3"),0.5,1),""))</f>
        <v/>
      </c>
      <c r="FJ87" s="88" t="str">
        <f t="shared" ref="FJ87" si="2963">IF($T$5="",IF(RIGHT(AI33,4)="*0,5",0.5,IF(RIGHT(AI33,4)="*0,3",0.3,IF(FJ34&lt;&gt;"",1,""))),IF(FJ34&lt;&gt;"",IF(OR(RIGHT(AI33,4)="*0,5",RIGHT(AI33,4)="*0,3"),0.5,1),""))</f>
        <v/>
      </c>
      <c r="FK87" s="88" t="str">
        <f t="shared" ref="FK87" si="2964">IF($T$5="",IF(RIGHT(AJ33,4)="*0,5",0.5,IF(RIGHT(AJ33,4)="*0,3",0.3,IF(FK34&lt;&gt;"",1,""))),IF(FK34&lt;&gt;"",IF(OR(RIGHT(AJ33,4)="*0,5",RIGHT(AJ33,4)="*0,3"),0.5,1),""))</f>
        <v/>
      </c>
      <c r="FL87" s="88" t="str">
        <f t="shared" ref="FL87" si="2965">IF($T$5="",IF(RIGHT(AK33,4)="*0,5",0.5,IF(RIGHT(AK33,4)="*0,3",0.3,IF(FL34&lt;&gt;"",1,""))),IF(FL34&lt;&gt;"",IF(OR(RIGHT(AK33,4)="*0,5",RIGHT(AK33,4)="*0,3"),0.5,1),""))</f>
        <v/>
      </c>
      <c r="FM87" s="88" t="str">
        <f t="shared" ref="FM87" si="2966">IF($T$5="",IF(RIGHT(AL33,4)="*0,5",0.5,IF(RIGHT(AL33,4)="*0,3",0.3,IF(FM34&lt;&gt;"",1,""))),IF(FM34&lt;&gt;"",IF(OR(RIGHT(AL33,4)="*0,5",RIGHT(AL33,4)="*0,3"),0.5,1),""))</f>
        <v/>
      </c>
      <c r="FN87" s="88" t="str">
        <f t="shared" ref="FN87" si="2967">IF($T$5="",IF(RIGHT(AM33,4)="*0,5",0.5,IF(RIGHT(AM33,4)="*0,3",0.3,IF(FN34&lt;&gt;"",1,""))),IF(FN34&lt;&gt;"",IF(OR(RIGHT(AM33,4)="*0,5",RIGHT(AM33,4)="*0,3"),0.5,1),""))</f>
        <v/>
      </c>
      <c r="FQ87" s="88"/>
      <c r="FR87" s="88"/>
      <c r="FS87" s="88"/>
      <c r="FT87" s="88"/>
      <c r="FU87" s="88"/>
      <c r="FV87" s="88"/>
      <c r="FW87" s="88"/>
      <c r="FX87" s="88"/>
      <c r="FY87" s="88"/>
      <c r="FZ87" s="88"/>
      <c r="GA87" s="88"/>
      <c r="GB87" s="88"/>
      <c r="GC87" s="88"/>
      <c r="GD87" s="88"/>
      <c r="GE87" s="88"/>
      <c r="GF87" s="88"/>
      <c r="GG87" s="88"/>
      <c r="GH87" s="88"/>
      <c r="GI87" s="88"/>
      <c r="GJ87" s="88"/>
      <c r="GK87" s="88"/>
      <c r="GL87" s="88"/>
      <c r="GM87" s="88"/>
      <c r="GN87" s="88"/>
      <c r="GO87" s="88"/>
      <c r="GP87" s="88"/>
      <c r="GQ87" s="88"/>
      <c r="GR87" s="88"/>
      <c r="GS87" s="88"/>
      <c r="GT87" s="88"/>
      <c r="GU87" s="88"/>
    </row>
    <row r="88" spans="5:203" x14ac:dyDescent="0.35">
      <c r="EO88" s="88"/>
      <c r="EP88" s="88"/>
      <c r="EQ88" s="88"/>
      <c r="ER88" s="88"/>
      <c r="ES88" s="88"/>
      <c r="ET88" s="88"/>
      <c r="EU88" s="88"/>
      <c r="EV88" s="88"/>
      <c r="EW88" s="88"/>
      <c r="EX88" s="88"/>
      <c r="EY88" s="88"/>
      <c r="EZ88" s="88"/>
      <c r="FA88" s="88"/>
      <c r="FB88" s="88"/>
      <c r="FC88" s="88"/>
      <c r="FD88" s="88"/>
      <c r="FE88" s="88"/>
      <c r="FF88" s="88"/>
      <c r="FG88" s="88"/>
      <c r="FH88" s="88"/>
      <c r="FI88" s="88"/>
      <c r="FJ88" s="88"/>
      <c r="FK88" s="88"/>
      <c r="FL88" s="88"/>
      <c r="FM88" s="88"/>
      <c r="FN88" s="88"/>
      <c r="FO88" s="91">
        <v>6</v>
      </c>
      <c r="FP88" s="88" t="str">
        <f t="shared" ref="FP88" si="2968">IF(SUM(FR91:GU91)&gt;2,FQ88,"")</f>
        <v/>
      </c>
      <c r="FQ88" s="88" t="str" cm="1">
        <f t="array" ref="FQ88">IF(SUM(FR90:GU90)&gt;0,_xlfn.LET(_xlpm.area,FR88:GU88,_xlpm.texts,_xlfn.UNIQUE(_xlfn._xlws.FILTER(_xlpm.area,_xlpm.area&lt;&gt;"")),_xlpm.number,COUNTIF(_xlpm.area,_xlpm.texts),INDEX(_xlpm.texts,MATCH(MAX(_xlpm.number),_xlpm.number,0))),"")</f>
        <v/>
      </c>
      <c r="FR88" s="88" cm="1">
        <f t="array" ref="FR88">_xlfn.LET(_xlpm.rad,$FO88+1,_xlpm.typ,INDEX($E$20:$E$68,_xlpm.rad),_xlpm.kod,INDEX(J$19:J$68,_xlpm.rad),IFERROR(IF(AND(_xlpm.typ="H",_xlpm.kod&lt;&gt;""),UPPER(_xlpm.kod),FR$18),FR$18))</f>
        <v>1</v>
      </c>
      <c r="FS88" s="88" cm="1">
        <f t="array" ref="FS88">_xlfn.LET(_xlpm.rad,$FO88+1,_xlpm.typ,INDEX($E$20:$E$68,_xlpm.rad),_xlpm.kod,INDEX(K$19:K$68,_xlpm.rad),IFERROR(IF(AND(_xlpm.typ="H",_xlpm.kod&lt;&gt;""),UPPER(_xlpm.kod),FS$18),FS$18))</f>
        <v>2</v>
      </c>
      <c r="FT88" s="88" cm="1">
        <f t="array" ref="FT88">_xlfn.LET(_xlpm.rad,$FO88+1,_xlpm.typ,INDEX($E$20:$E$68,_xlpm.rad),_xlpm.kod,INDEX(L$19:L$68,_xlpm.rad),IFERROR(IF(AND(_xlpm.typ="H",_xlpm.kod&lt;&gt;""),UPPER(_xlpm.kod),FT$18),FT$18))</f>
        <v>3</v>
      </c>
      <c r="FU88" s="88" cm="1">
        <f t="array" ref="FU88">_xlfn.LET(_xlpm.rad,$FO88+1,_xlpm.typ,INDEX($E$20:$E$68,_xlpm.rad),_xlpm.kod,INDEX(M$19:M$68,_xlpm.rad),IFERROR(IF(AND(_xlpm.typ="H",_xlpm.kod&lt;&gt;""),UPPER(_xlpm.kod),FU$18),FU$18))</f>
        <v>4</v>
      </c>
      <c r="FV88" s="88" cm="1">
        <f t="array" ref="FV88">_xlfn.LET(_xlpm.rad,$FO88+1,_xlpm.typ,INDEX($E$20:$E$68,_xlpm.rad),_xlpm.kod,INDEX(N$19:N$68,_xlpm.rad),IFERROR(IF(AND(_xlpm.typ="H",_xlpm.kod&lt;&gt;""),UPPER(_xlpm.kod),FV$18),FV$18))</f>
        <v>5</v>
      </c>
      <c r="FW88" s="88" cm="1">
        <f t="array" ref="FW88">_xlfn.LET(_xlpm.rad,$FO88+1,_xlpm.typ,INDEX($E$20:$E$68,_xlpm.rad),_xlpm.kod,INDEX(O$19:O$68,_xlpm.rad),IFERROR(IF(AND(_xlpm.typ="H",_xlpm.kod&lt;&gt;""),UPPER(_xlpm.kod),FW$18),FW$18))</f>
        <v>6</v>
      </c>
      <c r="FX88" s="88" cm="1">
        <f t="array" ref="FX88">_xlfn.LET(_xlpm.rad,$FO88+1,_xlpm.typ,INDEX($E$20:$E$68,_xlpm.rad),_xlpm.kod,INDEX(P$19:P$68,_xlpm.rad),IFERROR(IF(AND(_xlpm.typ="H",_xlpm.kod&lt;&gt;""),UPPER(_xlpm.kod),FX$18),FX$18))</f>
        <v>7</v>
      </c>
      <c r="FY88" s="88" cm="1">
        <f t="array" ref="FY88">_xlfn.LET(_xlpm.rad,$FO88+1,_xlpm.typ,INDEX($E$20:$E$68,_xlpm.rad),_xlpm.kod,INDEX(Q$19:Q$68,_xlpm.rad),IFERROR(IF(AND(_xlpm.typ="H",_xlpm.kod&lt;&gt;""),UPPER(_xlpm.kod),FY$18),FY$18))</f>
        <v>8</v>
      </c>
      <c r="FZ88" s="88" cm="1">
        <f t="array" ref="FZ88">_xlfn.LET(_xlpm.rad,$FO88+1,_xlpm.typ,INDEX($E$20:$E$68,_xlpm.rad),_xlpm.kod,INDEX(R$19:R$68,_xlpm.rad),IFERROR(IF(AND(_xlpm.typ="H",_xlpm.kod&lt;&gt;""),UPPER(_xlpm.kod),FZ$18),FZ$18))</f>
        <v>9</v>
      </c>
      <c r="GA88" s="88" cm="1">
        <f t="array" ref="GA88">_xlfn.LET(_xlpm.rad,$FO88+1,_xlpm.typ,INDEX($E$20:$E$68,_xlpm.rad),_xlpm.kod,INDEX(S$19:S$68,_xlpm.rad),IFERROR(IF(AND(_xlpm.typ="H",_xlpm.kod&lt;&gt;""),UPPER(_xlpm.kod),GA$18),GA$18))</f>
        <v>10</v>
      </c>
      <c r="GB88" s="88" cm="1">
        <f t="array" ref="GB88">_xlfn.LET(_xlpm.rad,$FO88+1,_xlpm.typ,INDEX($E$20:$E$68,_xlpm.rad),_xlpm.kod,INDEX(T$19:T$68,_xlpm.rad),IFERROR(IF(AND(_xlpm.typ="H",_xlpm.kod&lt;&gt;""),UPPER(_xlpm.kod),GB$18),GB$18))</f>
        <v>11</v>
      </c>
      <c r="GC88" s="88" cm="1">
        <f t="array" ref="GC88">_xlfn.LET(_xlpm.rad,$FO88+1,_xlpm.typ,INDEX($E$20:$E$68,_xlpm.rad),_xlpm.kod,INDEX(U$19:U$68,_xlpm.rad),IFERROR(IF(AND(_xlpm.typ="H",_xlpm.kod&lt;&gt;""),UPPER(_xlpm.kod),GC$18),GC$18))</f>
        <v>12</v>
      </c>
      <c r="GD88" s="88" cm="1">
        <f t="array" ref="GD88">_xlfn.LET(_xlpm.rad,$FO88+1,_xlpm.typ,INDEX($E$20:$E$68,_xlpm.rad),_xlpm.kod,INDEX(V$19:V$68,_xlpm.rad),IFERROR(IF(AND(_xlpm.typ="H",_xlpm.kod&lt;&gt;""),UPPER(_xlpm.kod),GD$18),GD$18))</f>
        <v>13</v>
      </c>
      <c r="GE88" s="88" cm="1">
        <f t="array" ref="GE88">_xlfn.LET(_xlpm.rad,$FO88+1,_xlpm.typ,INDEX($E$20:$E$68,_xlpm.rad),_xlpm.kod,INDEX(W$19:W$68,_xlpm.rad),IFERROR(IF(AND(_xlpm.typ="H",_xlpm.kod&lt;&gt;""),UPPER(_xlpm.kod),GE$18),GE$18))</f>
        <v>14</v>
      </c>
      <c r="GF88" s="88" cm="1">
        <f t="array" ref="GF88">_xlfn.LET(_xlpm.rad,$FO88+1,_xlpm.typ,INDEX($E$20:$E$68,_xlpm.rad),_xlpm.kod,INDEX(X$19:X$68,_xlpm.rad),IFERROR(IF(AND(_xlpm.typ="H",_xlpm.kod&lt;&gt;""),UPPER(_xlpm.kod),GF$18),GF$18))</f>
        <v>15</v>
      </c>
      <c r="GG88" s="88" cm="1">
        <f t="array" ref="GG88">_xlfn.LET(_xlpm.rad,$FO88+1,_xlpm.typ,INDEX($E$20:$E$68,_xlpm.rad),_xlpm.kod,INDEX(Y$19:Y$68,_xlpm.rad),IFERROR(IF(AND(_xlpm.typ="H",_xlpm.kod&lt;&gt;""),UPPER(_xlpm.kod),GG$18),GG$18))</f>
        <v>16</v>
      </c>
      <c r="GH88" s="88" cm="1">
        <f t="array" ref="GH88">_xlfn.LET(_xlpm.rad,$FO88+1,_xlpm.typ,INDEX($E$20:$E$68,_xlpm.rad),_xlpm.kod,INDEX(Z$19:Z$68,_xlpm.rad),IFERROR(IF(AND(_xlpm.typ="H",_xlpm.kod&lt;&gt;""),UPPER(_xlpm.kod),GH$18),GH$18))</f>
        <v>17</v>
      </c>
      <c r="GI88" s="88" cm="1">
        <f t="array" ref="GI88">_xlfn.LET(_xlpm.rad,$FO88+1,_xlpm.typ,INDEX($E$20:$E$68,_xlpm.rad),_xlpm.kod,INDEX(AA$19:AA$68,_xlpm.rad),IFERROR(IF(AND(_xlpm.typ="H",_xlpm.kod&lt;&gt;""),UPPER(_xlpm.kod),GI$18),GI$18))</f>
        <v>18</v>
      </c>
      <c r="GJ88" s="88" cm="1">
        <f t="array" ref="GJ88">_xlfn.LET(_xlpm.rad,$FO88+1,_xlpm.typ,INDEX($E$20:$E$68,_xlpm.rad),_xlpm.kod,INDEX(AB$19:AB$68,_xlpm.rad),IFERROR(IF(AND(_xlpm.typ="H",_xlpm.kod&lt;&gt;""),UPPER(_xlpm.kod),GJ$18),GJ$18))</f>
        <v>19</v>
      </c>
      <c r="GK88" s="88" cm="1">
        <f t="array" ref="GK88">_xlfn.LET(_xlpm.rad,$FO88+1,_xlpm.typ,INDEX($E$20:$E$68,_xlpm.rad),_xlpm.kod,INDEX(AC$19:AC$68,_xlpm.rad),IFERROR(IF(AND(_xlpm.typ="H",_xlpm.kod&lt;&gt;""),UPPER(_xlpm.kod),GK$18),GK$18))</f>
        <v>20</v>
      </c>
      <c r="GL88" s="88" cm="1">
        <f t="array" ref="GL88">_xlfn.LET(_xlpm.rad,$FO88+1,_xlpm.typ,INDEX($E$20:$E$68,_xlpm.rad),_xlpm.kod,INDEX(AD$19:AD$68,_xlpm.rad),IFERROR(IF(AND(_xlpm.typ="H",_xlpm.kod&lt;&gt;""),UPPER(_xlpm.kod),GL$18),GL$18))</f>
        <v>21</v>
      </c>
      <c r="GM88" s="88" cm="1">
        <f t="array" ref="GM88">_xlfn.LET(_xlpm.rad,$FO88+1,_xlpm.typ,INDEX($E$20:$E$68,_xlpm.rad),_xlpm.kod,INDEX(AE$19:AE$68,_xlpm.rad),IFERROR(IF(AND(_xlpm.typ="H",_xlpm.kod&lt;&gt;""),UPPER(_xlpm.kod),GM$18),GM$18))</f>
        <v>22</v>
      </c>
      <c r="GN88" s="88" cm="1">
        <f t="array" ref="GN88">_xlfn.LET(_xlpm.rad,$FO88+1,_xlpm.typ,INDEX($E$20:$E$68,_xlpm.rad),_xlpm.kod,INDEX(AF$19:AF$68,_xlpm.rad),IFERROR(IF(AND(_xlpm.typ="H",_xlpm.kod&lt;&gt;""),UPPER(_xlpm.kod),GN$18),GN$18))</f>
        <v>23</v>
      </c>
      <c r="GO88" s="88" cm="1">
        <f t="array" ref="GO88">_xlfn.LET(_xlpm.rad,$FO88+1,_xlpm.typ,INDEX($E$20:$E$68,_xlpm.rad),_xlpm.kod,INDEX(AG$19:AG$68,_xlpm.rad),IFERROR(IF(AND(_xlpm.typ="H",_xlpm.kod&lt;&gt;""),UPPER(_xlpm.kod),GO$18),GO$18))</f>
        <v>24</v>
      </c>
      <c r="GP88" s="88" cm="1">
        <f t="array" ref="GP88">_xlfn.LET(_xlpm.rad,$FO88+1,_xlpm.typ,INDEX($E$20:$E$68,_xlpm.rad),_xlpm.kod,INDEX(AH$19:AH$68,_xlpm.rad),IFERROR(IF(AND(_xlpm.typ="H",_xlpm.kod&lt;&gt;""),UPPER(_xlpm.kod),GP$18),GP$18))</f>
        <v>25</v>
      </c>
      <c r="GQ88" s="88" cm="1">
        <f t="array" ref="GQ88">_xlfn.LET(_xlpm.rad,$FO88+1,_xlpm.typ,INDEX($E$20:$E$68,_xlpm.rad),_xlpm.kod,INDEX(AI$19:AI$68,_xlpm.rad),IFERROR(IF(AND(_xlpm.typ="H",_xlpm.kod&lt;&gt;""),UPPER(_xlpm.kod),GQ$18),GQ$18))</f>
        <v>26</v>
      </c>
      <c r="GR88" s="88" cm="1">
        <f t="array" ref="GR88">_xlfn.LET(_xlpm.rad,$FO88+1,_xlpm.typ,INDEX($E$20:$E$68,_xlpm.rad),_xlpm.kod,INDEX(AJ$19:AJ$68,_xlpm.rad),IFERROR(IF(AND(_xlpm.typ="H",_xlpm.kod&lt;&gt;""),UPPER(_xlpm.kod),GR$18),GR$18))</f>
        <v>27</v>
      </c>
      <c r="GS88" s="88" cm="1">
        <f t="array" ref="GS88">_xlfn.LET(_xlpm.rad,$FO88+1,_xlpm.typ,INDEX($E$20:$E$68,_xlpm.rad),_xlpm.kod,INDEX(AK$19:AK$68,_xlpm.rad),IFERROR(IF(AND(_xlpm.typ="H",_xlpm.kod&lt;&gt;""),UPPER(_xlpm.kod),GS$18),GS$18))</f>
        <v>28</v>
      </c>
      <c r="GT88" s="88" cm="1">
        <f t="array" ref="GT88">_xlfn.LET(_xlpm.rad,$FO88+1,_xlpm.typ,INDEX($E$20:$E$68,_xlpm.rad),_xlpm.kod,INDEX(AL$19:AL$68,_xlpm.rad),IFERROR(IF(AND(_xlpm.typ="H",_xlpm.kod&lt;&gt;""),UPPER(_xlpm.kod),GT$18),GT$18))</f>
        <v>29</v>
      </c>
      <c r="GU88" s="88" cm="1">
        <f t="array" ref="GU88">_xlfn.LET(_xlpm.rad,$FO88+1,_xlpm.typ,INDEX($E$20:$E$68,_xlpm.rad),_xlpm.kod,INDEX(AM$19:AM$68,_xlpm.rad),IFERROR(IF(AND(_xlpm.typ="H",_xlpm.kod&lt;&gt;""),UPPER(_xlpm.kod),GU$18),GU$18))</f>
        <v>30</v>
      </c>
    </row>
    <row r="89" spans="5:203" x14ac:dyDescent="0.35">
      <c r="EG89" s="88">
        <f t="shared" ref="EG89" si="2969">COUNTIF(EK89:FN89,0.3)</f>
        <v>0</v>
      </c>
      <c r="EH89" s="88">
        <f t="shared" ref="EH89" si="2970">COUNTIF(EK89:FN89,0.5)</f>
        <v>0</v>
      </c>
      <c r="EI89" s="88" t="str">
        <f t="shared" ref="EI89" si="2971">IF(AND(T21="",OR(EG89&gt;5,EH89&gt;5)),"X",IF(SUM(EK89:FN89)&gt;5,"X",""))</f>
        <v/>
      </c>
      <c r="EK89" s="88" t="str">
        <f t="shared" ref="EK89" si="2972">IF($T$5="",IF(RIGHT(J35,4)="*0,5",0.5,IF(RIGHT(J35,4)="*0,3",0.3,IF(EK36&lt;&gt;"",1,""))),IF(EK36&lt;&gt;"",IF(OR(RIGHT(J35,4)="*0,5",RIGHT(J35,4)="*0,3"),0.5,1),""))</f>
        <v/>
      </c>
      <c r="EL89" s="88" t="str">
        <f t="shared" ref="EL89" si="2973">IF($T$5="",IF(RIGHT(K35,4)="*0,5",0.5,IF(RIGHT(K35,4)="*0,3",0.3,IF(EL36&lt;&gt;"",1,""))),IF(EL36&lt;&gt;"",IF(OR(RIGHT(K35,4)="*0,5",RIGHT(K35,4)="*0,3"),0.5,1),""))</f>
        <v/>
      </c>
      <c r="EM89" s="88" t="str">
        <f t="shared" ref="EM89" si="2974">IF($T$5="",IF(RIGHT(L35,4)="*0,5",0.5,IF(RIGHT(L35,4)="*0,3",0.3,IF(EM36&lt;&gt;"",1,""))),IF(EM36&lt;&gt;"",IF(OR(RIGHT(L35,4)="*0,5",RIGHT(L35,4)="*0,3"),0.5,1),""))</f>
        <v/>
      </c>
      <c r="EN89" s="88" t="str">
        <f t="shared" ref="EN89" si="2975">IF($T$5="",IF(RIGHT(M35,4)="*0,5",0.5,IF(RIGHT(M35,4)="*0,3",0.3,IF(EN36&lt;&gt;"",1,""))),IF(EN36&lt;&gt;"",IF(OR(RIGHT(M35,4)="*0,5",RIGHT(M35,4)="*0,3"),0.5,1),""))</f>
        <v/>
      </c>
      <c r="EO89" s="88" t="str">
        <f t="shared" ref="EO89" si="2976">IF($T$5="",IF(RIGHT(N35,4)="*0,5",0.5,IF(RIGHT(N35,4)="*0,3",0.3,IF(EO36&lt;&gt;"",1,""))),IF(EO36&lt;&gt;"",IF(OR(RIGHT(N35,4)="*0,5",RIGHT(N35,4)="*0,3"),0.5,1),""))</f>
        <v/>
      </c>
      <c r="EP89" s="88" t="str">
        <f t="shared" ref="EP89" si="2977">IF($T$5="",IF(RIGHT(O35,4)="*0,5",0.5,IF(RIGHT(O35,4)="*0,3",0.3,IF(EP36&lt;&gt;"",1,""))),IF(EP36&lt;&gt;"",IF(OR(RIGHT(O35,4)="*0,5",RIGHT(O35,4)="*0,3"),0.5,1),""))</f>
        <v/>
      </c>
      <c r="EQ89" s="88" t="str">
        <f t="shared" ref="EQ89" si="2978">IF($T$5="",IF(RIGHT(P35,4)="*0,5",0.5,IF(RIGHT(P35,4)="*0,3",0.3,IF(EQ36&lt;&gt;"",1,""))),IF(EQ36&lt;&gt;"",IF(OR(RIGHT(P35,4)="*0,5",RIGHT(P35,4)="*0,3"),0.5,1),""))</f>
        <v/>
      </c>
      <c r="ER89" s="88" t="str">
        <f t="shared" ref="ER89" si="2979">IF($T$5="",IF(RIGHT(Q35,4)="*0,5",0.5,IF(RIGHT(Q35,4)="*0,3",0.3,IF(ER36&lt;&gt;"",1,""))),IF(ER36&lt;&gt;"",IF(OR(RIGHT(Q35,4)="*0,5",RIGHT(Q35,4)="*0,3"),0.5,1),""))</f>
        <v/>
      </c>
      <c r="ES89" s="88" t="str">
        <f t="shared" ref="ES89" si="2980">IF($T$5="",IF(RIGHT(R35,4)="*0,5",0.5,IF(RIGHT(R35,4)="*0,3",0.3,IF(ES36&lt;&gt;"",1,""))),IF(ES36&lt;&gt;"",IF(OR(RIGHT(R35,4)="*0,5",RIGHT(R35,4)="*0,3"),0.5,1),""))</f>
        <v/>
      </c>
      <c r="ET89" s="88" t="str">
        <f t="shared" ref="ET89" si="2981">IF($T$5="",IF(RIGHT(S35,4)="*0,5",0.5,IF(RIGHT(S35,4)="*0,3",0.3,IF(ET36&lt;&gt;"",1,""))),IF(ET36&lt;&gt;"",IF(OR(RIGHT(S35,4)="*0,5",RIGHT(S35,4)="*0,3"),0.5,1),""))</f>
        <v/>
      </c>
      <c r="EU89" s="88" t="str">
        <f t="shared" ref="EU89" si="2982">IF($T$5="",IF(RIGHT(T35,4)="*0,5",0.5,IF(RIGHT(T35,4)="*0,3",0.3,IF(EU36&lt;&gt;"",1,""))),IF(EU36&lt;&gt;"",IF(OR(RIGHT(T35,4)="*0,5",RIGHT(T35,4)="*0,3"),0.5,1),""))</f>
        <v/>
      </c>
      <c r="EV89" s="88" t="str">
        <f t="shared" ref="EV89" si="2983">IF($T$5="",IF(RIGHT(U35,4)="*0,5",0.5,IF(RIGHT(U35,4)="*0,3",0.3,IF(EV36&lt;&gt;"",1,""))),IF(EV36&lt;&gt;"",IF(OR(RIGHT(U35,4)="*0,5",RIGHT(U35,4)="*0,3"),0.5,1),""))</f>
        <v/>
      </c>
      <c r="EW89" s="88" t="str">
        <f t="shared" ref="EW89" si="2984">IF($T$5="",IF(RIGHT(V35,4)="*0,5",0.5,IF(RIGHT(V35,4)="*0,3",0.3,IF(EW36&lt;&gt;"",1,""))),IF(EW36&lt;&gt;"",IF(OR(RIGHT(V35,4)="*0,5",RIGHT(V35,4)="*0,3"),0.5,1),""))</f>
        <v/>
      </c>
      <c r="EX89" s="88" t="str">
        <f t="shared" ref="EX89" si="2985">IF($T$5="",IF(RIGHT(W35,4)="*0,5",0.5,IF(RIGHT(W35,4)="*0,3",0.3,IF(EX36&lt;&gt;"",1,""))),IF(EX36&lt;&gt;"",IF(OR(RIGHT(W35,4)="*0,5",RIGHT(W35,4)="*0,3"),0.5,1),""))</f>
        <v/>
      </c>
      <c r="EY89" s="88" t="str">
        <f t="shared" ref="EY89" si="2986">IF($T$5="",IF(RIGHT(X35,4)="*0,5",0.5,IF(RIGHT(X35,4)="*0,3",0.3,IF(EY36&lt;&gt;"",1,""))),IF(EY36&lt;&gt;"",IF(OR(RIGHT(X35,4)="*0,5",RIGHT(X35,4)="*0,3"),0.5,1),""))</f>
        <v/>
      </c>
      <c r="EZ89" s="88" t="str">
        <f t="shared" ref="EZ89" si="2987">IF($T$5="",IF(RIGHT(Y35,4)="*0,5",0.5,IF(RIGHT(Y35,4)="*0,3",0.3,IF(EZ36&lt;&gt;"",1,""))),IF(EZ36&lt;&gt;"",IF(OR(RIGHT(Y35,4)="*0,5",RIGHT(Y35,4)="*0,3"),0.5,1),""))</f>
        <v/>
      </c>
      <c r="FA89" s="88" t="str">
        <f t="shared" ref="FA89" si="2988">IF($T$5="",IF(RIGHT(Z35,4)="*0,5",0.5,IF(RIGHT(Z35,4)="*0,3",0.3,IF(FA36&lt;&gt;"",1,""))),IF(FA36&lt;&gt;"",IF(OR(RIGHT(Z35,4)="*0,5",RIGHT(Z35,4)="*0,3"),0.5,1),""))</f>
        <v/>
      </c>
      <c r="FB89" s="88" t="str">
        <f t="shared" ref="FB89" si="2989">IF($T$5="",IF(RIGHT(AA35,4)="*0,5",0.5,IF(RIGHT(AA35,4)="*0,3",0.3,IF(FB36&lt;&gt;"",1,""))),IF(FB36&lt;&gt;"",IF(OR(RIGHT(AA35,4)="*0,5",RIGHT(AA35,4)="*0,3"),0.5,1),""))</f>
        <v/>
      </c>
      <c r="FC89" s="88" t="str">
        <f t="shared" ref="FC89" si="2990">IF($T$5="",IF(RIGHT(AB35,4)="*0,5",0.5,IF(RIGHT(AB35,4)="*0,3",0.3,IF(FC36&lt;&gt;"",1,""))),IF(FC36&lt;&gt;"",IF(OR(RIGHT(AB35,4)="*0,5",RIGHT(AB35,4)="*0,3"),0.5,1),""))</f>
        <v/>
      </c>
      <c r="FD89" s="88" t="str">
        <f t="shared" ref="FD89" si="2991">IF($T$5="",IF(RIGHT(AC35,4)="*0,5",0.5,IF(RIGHT(AC35,4)="*0,3",0.3,IF(FD36&lt;&gt;"",1,""))),IF(FD36&lt;&gt;"",IF(OR(RIGHT(AC35,4)="*0,5",RIGHT(AC35,4)="*0,3"),0.5,1),""))</f>
        <v/>
      </c>
      <c r="FE89" s="88" t="str">
        <f t="shared" ref="FE89" si="2992">IF($T$5="",IF(RIGHT(AD35,4)="*0,5",0.5,IF(RIGHT(AD35,4)="*0,3",0.3,IF(FE36&lt;&gt;"",1,""))),IF(FE36&lt;&gt;"",IF(OR(RIGHT(AD35,4)="*0,5",RIGHT(AD35,4)="*0,3"),0.5,1),""))</f>
        <v/>
      </c>
      <c r="FF89" s="88" t="str">
        <f t="shared" ref="FF89" si="2993">IF($T$5="",IF(RIGHT(AE35,4)="*0,5",0.5,IF(RIGHT(AE35,4)="*0,3",0.3,IF(FF36&lt;&gt;"",1,""))),IF(FF36&lt;&gt;"",IF(OR(RIGHT(AE35,4)="*0,5",RIGHT(AE35,4)="*0,3"),0.5,1),""))</f>
        <v/>
      </c>
      <c r="FG89" s="88" t="str">
        <f t="shared" ref="FG89" si="2994">IF($T$5="",IF(RIGHT(AF35,4)="*0,5",0.5,IF(RIGHT(AF35,4)="*0,3",0.3,IF(FG36&lt;&gt;"",1,""))),IF(FG36&lt;&gt;"",IF(OR(RIGHT(AF35,4)="*0,5",RIGHT(AF35,4)="*0,3"),0.5,1),""))</f>
        <v/>
      </c>
      <c r="FH89" s="88" t="str">
        <f t="shared" ref="FH89" si="2995">IF($T$5="",IF(RIGHT(AG35,4)="*0,5",0.5,IF(RIGHT(AG35,4)="*0,3",0.3,IF(FH36&lt;&gt;"",1,""))),IF(FH36&lt;&gt;"",IF(OR(RIGHT(AG35,4)="*0,5",RIGHT(AG35,4)="*0,3"),0.5,1),""))</f>
        <v/>
      </c>
      <c r="FI89" s="88" t="str">
        <f t="shared" ref="FI89" si="2996">IF($T$5="",IF(RIGHT(AH35,4)="*0,5",0.5,IF(RIGHT(AH35,4)="*0,3",0.3,IF(FI36&lt;&gt;"",1,""))),IF(FI36&lt;&gt;"",IF(OR(RIGHT(AH35,4)="*0,5",RIGHT(AH35,4)="*0,3"),0.5,1),""))</f>
        <v/>
      </c>
      <c r="FJ89" s="88" t="str">
        <f t="shared" ref="FJ89" si="2997">IF($T$5="",IF(RIGHT(AI35,4)="*0,5",0.5,IF(RIGHT(AI35,4)="*0,3",0.3,IF(FJ36&lt;&gt;"",1,""))),IF(FJ36&lt;&gt;"",IF(OR(RIGHT(AI35,4)="*0,5",RIGHT(AI35,4)="*0,3"),0.5,1),""))</f>
        <v/>
      </c>
      <c r="FK89" s="88" t="str">
        <f t="shared" ref="FK89" si="2998">IF($T$5="",IF(RIGHT(AJ35,4)="*0,5",0.5,IF(RIGHT(AJ35,4)="*0,3",0.3,IF(FK36&lt;&gt;"",1,""))),IF(FK36&lt;&gt;"",IF(OR(RIGHT(AJ35,4)="*0,5",RIGHT(AJ35,4)="*0,3"),0.5,1),""))</f>
        <v/>
      </c>
      <c r="FL89" s="88" t="str">
        <f t="shared" ref="FL89" si="2999">IF($T$5="",IF(RIGHT(AK35,4)="*0,5",0.5,IF(RIGHT(AK35,4)="*0,3",0.3,IF(FL36&lt;&gt;"",1,""))),IF(FL36&lt;&gt;"",IF(OR(RIGHT(AK35,4)="*0,5",RIGHT(AK35,4)="*0,3"),0.5,1),""))</f>
        <v/>
      </c>
      <c r="FM89" s="88" t="str">
        <f t="shared" ref="FM89" si="3000">IF($T$5="",IF(RIGHT(AL35,4)="*0,5",0.5,IF(RIGHT(AL35,4)="*0,3",0.3,IF(FM36&lt;&gt;"",1,""))),IF(FM36&lt;&gt;"",IF(OR(RIGHT(AL35,4)="*0,5",RIGHT(AL35,4)="*0,3"),0.5,1),""))</f>
        <v/>
      </c>
      <c r="FN89" s="88" t="str">
        <f t="shared" ref="FN89" si="3001">IF($T$5="",IF(RIGHT(AM35,4)="*0,5",0.5,IF(RIGHT(AM35,4)="*0,3",0.3,IF(FN36&lt;&gt;"",1,""))),IF(FN36&lt;&gt;"",IF(OR(RIGHT(AM35,4)="*0,5",RIGHT(AM35,4)="*0,3"),0.5,1),""))</f>
        <v/>
      </c>
      <c r="FR89" s="88" cm="1">
        <f t="array" ref="FR89">_xlfn.LET(_xlpm.rad,$FO88+1,_xlpm.typ,INDEX($E$20:$E$68,_xlpm.rad),_xlpm.kod,INDEX(J$19:J$68,_xlpm.rad),_xlpm.del,INDEX($F$19:$F$68,_xlpm.rad),IFERROR(IF(AND(_xlpm.typ="H",_xlpm.kod&lt;&gt;"",_xlpm.del&lt;&gt;"Hybrid - Thrust + 2 connections"),INDEX(Hyb_Tech,MATCH(_xlpm.kod,Hyb_Code,0)),FR$72),FR$72))</f>
        <v>1</v>
      </c>
      <c r="FS89" s="88" cm="1">
        <f t="array" ref="FS89">_xlfn.LET(_xlpm.rad,$FO88+1,_xlpm.typ,INDEX($E$20:$E$68,_xlpm.rad),_xlpm.kod,INDEX(K$19:K$68,_xlpm.rad),_xlpm.del,INDEX($F$19:$F$68,_xlpm.rad),IFERROR(IF(AND(_xlpm.typ="H",_xlpm.kod&lt;&gt;"",_xlpm.del&lt;&gt;"Hybrid - Thrust + 2 connections"),INDEX(Hyb_Tech,MATCH(_xlpm.kod,Hyb_Code,0)),FS$72),FS$72))</f>
        <v>2</v>
      </c>
      <c r="FT89" s="88" cm="1">
        <f t="array" ref="FT89">_xlfn.LET(_xlpm.rad,$FO88+1,_xlpm.typ,INDEX($E$20:$E$68,_xlpm.rad),_xlpm.kod,INDEX(L$19:L$68,_xlpm.rad),_xlpm.del,INDEX($F$19:$F$68,_xlpm.rad),IFERROR(IF(AND(_xlpm.typ="H",_xlpm.kod&lt;&gt;"",_xlpm.del&lt;&gt;"Hybrid - Thrust + 2 connections"),INDEX(Hyb_Tech,MATCH(_xlpm.kod,Hyb_Code,0)),FT$72),FT$72))</f>
        <v>3</v>
      </c>
      <c r="FU89" s="88" cm="1">
        <f t="array" ref="FU89">_xlfn.LET(_xlpm.rad,$FO88+1,_xlpm.typ,INDEX($E$20:$E$68,_xlpm.rad),_xlpm.kod,INDEX(M$19:M$68,_xlpm.rad),_xlpm.del,INDEX($F$19:$F$68,_xlpm.rad),IFERROR(IF(AND(_xlpm.typ="H",_xlpm.kod&lt;&gt;"",_xlpm.del&lt;&gt;"Hybrid - Thrust + 2 connections"),INDEX(Hyb_Tech,MATCH(_xlpm.kod,Hyb_Code,0)),FU$72),FU$72))</f>
        <v>4</v>
      </c>
      <c r="FV89" s="88" cm="1">
        <f t="array" ref="FV89">_xlfn.LET(_xlpm.rad,$FO88+1,_xlpm.typ,INDEX($E$20:$E$68,_xlpm.rad),_xlpm.kod,INDEX(N$19:N$68,_xlpm.rad),_xlpm.del,INDEX($F$19:$F$68,_xlpm.rad),IFERROR(IF(AND(_xlpm.typ="H",_xlpm.kod&lt;&gt;"",_xlpm.del&lt;&gt;"Hybrid - Thrust + 2 connections"),INDEX(Hyb_Tech,MATCH(_xlpm.kod,Hyb_Code,0)),FV$72),FV$72))</f>
        <v>5</v>
      </c>
      <c r="FW89" s="88" cm="1">
        <f t="array" ref="FW89">_xlfn.LET(_xlpm.rad,$FO88+1,_xlpm.typ,INDEX($E$20:$E$68,_xlpm.rad),_xlpm.kod,INDEX(O$19:O$68,_xlpm.rad),_xlpm.del,INDEX($F$19:$F$68,_xlpm.rad),IFERROR(IF(AND(_xlpm.typ="H",_xlpm.kod&lt;&gt;"",_xlpm.del&lt;&gt;"Hybrid - Thrust + 2 connections"),INDEX(Hyb_Tech,MATCH(_xlpm.kod,Hyb_Code,0)),FW$72),FW$72))</f>
        <v>6</v>
      </c>
      <c r="FX89" s="88" cm="1">
        <f t="array" ref="FX89">_xlfn.LET(_xlpm.rad,$FO88+1,_xlpm.typ,INDEX($E$20:$E$68,_xlpm.rad),_xlpm.kod,INDEX(P$19:P$68,_xlpm.rad),_xlpm.del,INDEX($F$19:$F$68,_xlpm.rad),IFERROR(IF(AND(_xlpm.typ="H",_xlpm.kod&lt;&gt;"",_xlpm.del&lt;&gt;"Hybrid - Thrust + 2 connections"),INDEX(Hyb_Tech,MATCH(_xlpm.kod,Hyb_Code,0)),FX$72),FX$72))</f>
        <v>7</v>
      </c>
      <c r="FY89" s="88" cm="1">
        <f t="array" ref="FY89">_xlfn.LET(_xlpm.rad,$FO88+1,_xlpm.typ,INDEX($E$20:$E$68,_xlpm.rad),_xlpm.kod,INDEX(Q$19:Q$68,_xlpm.rad),_xlpm.del,INDEX($F$19:$F$68,_xlpm.rad),IFERROR(IF(AND(_xlpm.typ="H",_xlpm.kod&lt;&gt;"",_xlpm.del&lt;&gt;"Hybrid - Thrust + 2 connections"),INDEX(Hyb_Tech,MATCH(_xlpm.kod,Hyb_Code,0)),FY$72),FY$72))</f>
        <v>8</v>
      </c>
      <c r="FZ89" s="88" cm="1">
        <f t="array" ref="FZ89">_xlfn.LET(_xlpm.rad,$FO88+1,_xlpm.typ,INDEX($E$20:$E$68,_xlpm.rad),_xlpm.kod,INDEX(R$19:R$68,_xlpm.rad),_xlpm.del,INDEX($F$19:$F$68,_xlpm.rad),IFERROR(IF(AND(_xlpm.typ="H",_xlpm.kod&lt;&gt;"",_xlpm.del&lt;&gt;"Hybrid - Thrust + 2 connections"),INDEX(Hyb_Tech,MATCH(_xlpm.kod,Hyb_Code,0)),FZ$72),FZ$72))</f>
        <v>9</v>
      </c>
      <c r="GA89" s="88" cm="1">
        <f t="array" ref="GA89">_xlfn.LET(_xlpm.rad,$FO88+1,_xlpm.typ,INDEX($E$20:$E$68,_xlpm.rad),_xlpm.kod,INDEX(S$19:S$68,_xlpm.rad),_xlpm.del,INDEX($F$19:$F$68,_xlpm.rad),IFERROR(IF(AND(_xlpm.typ="H",_xlpm.kod&lt;&gt;"",_xlpm.del&lt;&gt;"Hybrid - Thrust + 2 connections"),INDEX(Hyb_Tech,MATCH(_xlpm.kod,Hyb_Code,0)),GA$72),GA$72))</f>
        <v>10</v>
      </c>
      <c r="GB89" s="88" cm="1">
        <f t="array" ref="GB89">_xlfn.LET(_xlpm.rad,$FO88+1,_xlpm.typ,INDEX($E$20:$E$68,_xlpm.rad),_xlpm.kod,INDEX(T$19:T$68,_xlpm.rad),_xlpm.del,INDEX($F$19:$F$68,_xlpm.rad),IFERROR(IF(AND(_xlpm.typ="H",_xlpm.kod&lt;&gt;"",_xlpm.del&lt;&gt;"Hybrid - Thrust + 2 connections"),INDEX(Hyb_Tech,MATCH(_xlpm.kod,Hyb_Code,0)),GB$72),GB$72))</f>
        <v>11</v>
      </c>
      <c r="GC89" s="88" cm="1">
        <f t="array" ref="GC89">_xlfn.LET(_xlpm.rad,$FO88+1,_xlpm.typ,INDEX($E$20:$E$68,_xlpm.rad),_xlpm.kod,INDEX(U$19:U$68,_xlpm.rad),_xlpm.del,INDEX($F$19:$F$68,_xlpm.rad),IFERROR(IF(AND(_xlpm.typ="H",_xlpm.kod&lt;&gt;"",_xlpm.del&lt;&gt;"Hybrid - Thrust + 2 connections"),INDEX(Hyb_Tech,MATCH(_xlpm.kod,Hyb_Code,0)),GC$72),GC$72))</f>
        <v>12</v>
      </c>
      <c r="GD89" s="88" cm="1">
        <f t="array" ref="GD89">_xlfn.LET(_xlpm.rad,$FO88+1,_xlpm.typ,INDEX($E$20:$E$68,_xlpm.rad),_xlpm.kod,INDEX(V$19:V$68,_xlpm.rad),_xlpm.del,INDEX($F$19:$F$68,_xlpm.rad),IFERROR(IF(AND(_xlpm.typ="H",_xlpm.kod&lt;&gt;"",_xlpm.del&lt;&gt;"Hybrid - Thrust + 2 connections"),INDEX(Hyb_Tech,MATCH(_xlpm.kod,Hyb_Code,0)),GD$72),GD$72))</f>
        <v>13</v>
      </c>
      <c r="GE89" s="88" cm="1">
        <f t="array" ref="GE89">_xlfn.LET(_xlpm.rad,$FO88+1,_xlpm.typ,INDEX($E$20:$E$68,_xlpm.rad),_xlpm.kod,INDEX(W$19:W$68,_xlpm.rad),_xlpm.del,INDEX($F$19:$F$68,_xlpm.rad),IFERROR(IF(AND(_xlpm.typ="H",_xlpm.kod&lt;&gt;"",_xlpm.del&lt;&gt;"Hybrid - Thrust + 2 connections"),INDEX(Hyb_Tech,MATCH(_xlpm.kod,Hyb_Code,0)),GE$72),GE$72))</f>
        <v>14</v>
      </c>
      <c r="GF89" s="88" cm="1">
        <f t="array" ref="GF89">_xlfn.LET(_xlpm.rad,$FO88+1,_xlpm.typ,INDEX($E$20:$E$68,_xlpm.rad),_xlpm.kod,INDEX(X$19:X$68,_xlpm.rad),_xlpm.del,INDEX($F$19:$F$68,_xlpm.rad),IFERROR(IF(AND(_xlpm.typ="H",_xlpm.kod&lt;&gt;"",_xlpm.del&lt;&gt;"Hybrid - Thrust + 2 connections"),INDEX(Hyb_Tech,MATCH(_xlpm.kod,Hyb_Code,0)),GF$72),GF$72))</f>
        <v>15</v>
      </c>
      <c r="GG89" s="88" cm="1">
        <f t="array" ref="GG89">_xlfn.LET(_xlpm.rad,$FO88+1,_xlpm.typ,INDEX($E$20:$E$68,_xlpm.rad),_xlpm.kod,INDEX(Y$19:Y$68,_xlpm.rad),_xlpm.del,INDEX($F$19:$F$68,_xlpm.rad),IFERROR(IF(AND(_xlpm.typ="H",_xlpm.kod&lt;&gt;"",_xlpm.del&lt;&gt;"Hybrid - Thrust + 2 connections"),INDEX(Hyb_Tech,MATCH(_xlpm.kod,Hyb_Code,0)),GG$72),GG$72))</f>
        <v>16</v>
      </c>
      <c r="GH89" s="88" cm="1">
        <f t="array" ref="GH89">_xlfn.LET(_xlpm.rad,$FO88+1,_xlpm.typ,INDEX($E$20:$E$68,_xlpm.rad),_xlpm.kod,INDEX(Z$19:Z$68,_xlpm.rad),_xlpm.del,INDEX($F$19:$F$68,_xlpm.rad),IFERROR(IF(AND(_xlpm.typ="H",_xlpm.kod&lt;&gt;"",_xlpm.del&lt;&gt;"Hybrid - Thrust + 2 connections"),INDEX(Hyb_Tech,MATCH(_xlpm.kod,Hyb_Code,0)),GH$72),GH$72))</f>
        <v>17</v>
      </c>
      <c r="GI89" s="88" cm="1">
        <f t="array" ref="GI89">_xlfn.LET(_xlpm.rad,$FO88+1,_xlpm.typ,INDEX($E$20:$E$68,_xlpm.rad),_xlpm.kod,INDEX(AA$19:AA$68,_xlpm.rad),_xlpm.del,INDEX($F$19:$F$68,_xlpm.rad),IFERROR(IF(AND(_xlpm.typ="H",_xlpm.kod&lt;&gt;"",_xlpm.del&lt;&gt;"Hybrid - Thrust + 2 connections"),INDEX(Hyb_Tech,MATCH(_xlpm.kod,Hyb_Code,0)),GI$72),GI$72))</f>
        <v>18</v>
      </c>
      <c r="GJ89" s="88" cm="1">
        <f t="array" ref="GJ89">_xlfn.LET(_xlpm.rad,$FO88+1,_xlpm.typ,INDEX($E$20:$E$68,_xlpm.rad),_xlpm.kod,INDEX(AB$19:AB$68,_xlpm.rad),_xlpm.del,INDEX($F$19:$F$68,_xlpm.rad),IFERROR(IF(AND(_xlpm.typ="H",_xlpm.kod&lt;&gt;"",_xlpm.del&lt;&gt;"Hybrid - Thrust + 2 connections"),INDEX(Hyb_Tech,MATCH(_xlpm.kod,Hyb_Code,0)),GJ$72),GJ$72))</f>
        <v>19</v>
      </c>
      <c r="GK89" s="88" cm="1">
        <f t="array" ref="GK89">_xlfn.LET(_xlpm.rad,$FO88+1,_xlpm.typ,INDEX($E$20:$E$68,_xlpm.rad),_xlpm.kod,INDEX(AC$19:AC$68,_xlpm.rad),_xlpm.del,INDEX($F$19:$F$68,_xlpm.rad),IFERROR(IF(AND(_xlpm.typ="H",_xlpm.kod&lt;&gt;"",_xlpm.del&lt;&gt;"Hybrid - Thrust + 2 connections"),INDEX(Hyb_Tech,MATCH(_xlpm.kod,Hyb_Code,0)),GK$72),GK$72))</f>
        <v>20</v>
      </c>
      <c r="GL89" s="88" cm="1">
        <f t="array" ref="GL89">_xlfn.LET(_xlpm.rad,$FO88+1,_xlpm.typ,INDEX($E$20:$E$68,_xlpm.rad),_xlpm.kod,INDEX(AD$19:AD$68,_xlpm.rad),_xlpm.del,INDEX($F$19:$F$68,_xlpm.rad),IFERROR(IF(AND(_xlpm.typ="H",_xlpm.kod&lt;&gt;"",_xlpm.del&lt;&gt;"Hybrid - Thrust + 2 connections"),INDEX(Hyb_Tech,MATCH(_xlpm.kod,Hyb_Code,0)),GL$72),GL$72))</f>
        <v>21</v>
      </c>
      <c r="GM89" s="88" cm="1">
        <f t="array" ref="GM89">_xlfn.LET(_xlpm.rad,$FO88+1,_xlpm.typ,INDEX($E$20:$E$68,_xlpm.rad),_xlpm.kod,INDEX(AE$19:AE$68,_xlpm.rad),_xlpm.del,INDEX($F$19:$F$68,_xlpm.rad),IFERROR(IF(AND(_xlpm.typ="H",_xlpm.kod&lt;&gt;"",_xlpm.del&lt;&gt;"Hybrid - Thrust + 2 connections"),INDEX(Hyb_Tech,MATCH(_xlpm.kod,Hyb_Code,0)),GM$72),GM$72))</f>
        <v>22</v>
      </c>
      <c r="GN89" s="88" cm="1">
        <f t="array" ref="GN89">_xlfn.LET(_xlpm.rad,$FO88+1,_xlpm.typ,INDEX($E$20:$E$68,_xlpm.rad),_xlpm.kod,INDEX(AF$19:AF$68,_xlpm.rad),_xlpm.del,INDEX($F$19:$F$68,_xlpm.rad),IFERROR(IF(AND(_xlpm.typ="H",_xlpm.kod&lt;&gt;"",_xlpm.del&lt;&gt;"Hybrid - Thrust + 2 connections"),INDEX(Hyb_Tech,MATCH(_xlpm.kod,Hyb_Code,0)),GN$72),GN$72))</f>
        <v>23</v>
      </c>
      <c r="GO89" s="88" cm="1">
        <f t="array" ref="GO89">_xlfn.LET(_xlpm.rad,$FO88+1,_xlpm.typ,INDEX($E$20:$E$68,_xlpm.rad),_xlpm.kod,INDEX(AG$19:AG$68,_xlpm.rad),_xlpm.del,INDEX($F$19:$F$68,_xlpm.rad),IFERROR(IF(AND(_xlpm.typ="H",_xlpm.kod&lt;&gt;"",_xlpm.del&lt;&gt;"Hybrid - Thrust + 2 connections"),INDEX(Hyb_Tech,MATCH(_xlpm.kod,Hyb_Code,0)),GO$72),GO$72))</f>
        <v>24</v>
      </c>
      <c r="GP89" s="88" cm="1">
        <f t="array" ref="GP89">_xlfn.LET(_xlpm.rad,$FO88+1,_xlpm.typ,INDEX($E$20:$E$68,_xlpm.rad),_xlpm.kod,INDEX(AH$19:AH$68,_xlpm.rad),_xlpm.del,INDEX($F$19:$F$68,_xlpm.rad),IFERROR(IF(AND(_xlpm.typ="H",_xlpm.kod&lt;&gt;"",_xlpm.del&lt;&gt;"Hybrid - Thrust + 2 connections"),INDEX(Hyb_Tech,MATCH(_xlpm.kod,Hyb_Code,0)),GP$72),GP$72))</f>
        <v>25</v>
      </c>
      <c r="GQ89" s="88" cm="1">
        <f t="array" ref="GQ89">_xlfn.LET(_xlpm.rad,$FO88+1,_xlpm.typ,INDEX($E$20:$E$68,_xlpm.rad),_xlpm.kod,INDEX(AI$19:AI$68,_xlpm.rad),_xlpm.del,INDEX($F$19:$F$68,_xlpm.rad),IFERROR(IF(AND(_xlpm.typ="H",_xlpm.kod&lt;&gt;"",_xlpm.del&lt;&gt;"Hybrid - Thrust + 2 connections"),INDEX(Hyb_Tech,MATCH(_xlpm.kod,Hyb_Code,0)),GQ$72),GQ$72))</f>
        <v>26</v>
      </c>
      <c r="GR89" s="88" cm="1">
        <f t="array" ref="GR89">_xlfn.LET(_xlpm.rad,$FO88+1,_xlpm.typ,INDEX($E$20:$E$68,_xlpm.rad),_xlpm.kod,INDEX(AJ$19:AJ$68,_xlpm.rad),_xlpm.del,INDEX($F$19:$F$68,_xlpm.rad),IFERROR(IF(AND(_xlpm.typ="H",_xlpm.kod&lt;&gt;"",_xlpm.del&lt;&gt;"Hybrid - Thrust + 2 connections"),INDEX(Hyb_Tech,MATCH(_xlpm.kod,Hyb_Code,0)),GR$72),GR$72))</f>
        <v>27</v>
      </c>
      <c r="GS89" s="88" cm="1">
        <f t="array" ref="GS89">_xlfn.LET(_xlpm.rad,$FO88+1,_xlpm.typ,INDEX($E$20:$E$68,_xlpm.rad),_xlpm.kod,INDEX(AK$19:AK$68,_xlpm.rad),_xlpm.del,INDEX($F$19:$F$68,_xlpm.rad),IFERROR(IF(AND(_xlpm.typ="H",_xlpm.kod&lt;&gt;"",_xlpm.del&lt;&gt;"Hybrid - Thrust + 2 connections"),INDEX(Hyb_Tech,MATCH(_xlpm.kod,Hyb_Code,0)),GS$72),GS$72))</f>
        <v>28</v>
      </c>
      <c r="GT89" s="88" cm="1">
        <f t="array" ref="GT89">_xlfn.LET(_xlpm.rad,$FO88+1,_xlpm.typ,INDEX($E$20:$E$68,_xlpm.rad),_xlpm.kod,INDEX(AL$19:AL$68,_xlpm.rad),_xlpm.del,INDEX($F$19:$F$68,_xlpm.rad),IFERROR(IF(AND(_xlpm.typ="H",_xlpm.kod&lt;&gt;"",_xlpm.del&lt;&gt;"Hybrid - Thrust + 2 connections"),INDEX(Hyb_Tech,MATCH(_xlpm.kod,Hyb_Code,0)),GT$72),GT$72))</f>
        <v>29</v>
      </c>
      <c r="GU89" s="88" cm="1">
        <f t="array" ref="GU89">_xlfn.LET(_xlpm.rad,$FO88+1,_xlpm.typ,INDEX($E$20:$E$68,_xlpm.rad),_xlpm.kod,INDEX(AM$19:AM$68,_xlpm.rad),_xlpm.del,INDEX($F$19:$F$68,_xlpm.rad),IFERROR(IF(AND(_xlpm.typ="H",_xlpm.kod&lt;&gt;"",_xlpm.del&lt;&gt;"Hybrid - Thrust + 2 connections"),INDEX(Hyb_Tech,MATCH(_xlpm.kod,Hyb_Code,0)),GU$72),GU$72))</f>
        <v>30</v>
      </c>
    </row>
    <row r="90" spans="5:203" x14ac:dyDescent="0.35">
      <c r="EO90" s="88"/>
      <c r="EP90" s="88"/>
      <c r="EQ90" s="88"/>
      <c r="ER90" s="88"/>
      <c r="ES90" s="88"/>
      <c r="ET90" s="88"/>
      <c r="EU90" s="88"/>
      <c r="EV90" s="88"/>
      <c r="EW90" s="88"/>
      <c r="EX90" s="88"/>
      <c r="EY90" s="88"/>
      <c r="EZ90" s="88"/>
      <c r="FA90" s="88"/>
      <c r="FB90" s="88"/>
      <c r="FC90" s="88"/>
      <c r="FD90" s="88"/>
      <c r="FE90" s="88"/>
      <c r="FF90" s="88"/>
      <c r="FG90" s="88"/>
      <c r="FH90" s="88"/>
      <c r="FI90" s="88"/>
      <c r="FJ90" s="88"/>
      <c r="FK90" s="88"/>
      <c r="FL90" s="88"/>
      <c r="FM90" s="88"/>
      <c r="FN90" s="88"/>
      <c r="FP90" s="91" t="str" cm="1">
        <f t="array" ref="FP90">IFERROR(IF($T$5="",IF(COUNTIF(FR90:GU90,1)&gt;$FP$18,INDEX($FR$73:$GU$170,$FO88*5/2+1,MATCH(1,FR90:GU90,0)),""),IF(SUM(FR90:GU90)&gt;2,INDEX($FR$73:$GU$170,$FO88*5/2+1,MATCH(1,FR90:GU90,0)),"")),"")</f>
        <v/>
      </c>
      <c r="FQ90" s="88" t="str" cm="1">
        <f t="array" ref="FQ90">IFERROR(IF(LEFT(FP90,1)="C",IF(RIGHT(FP90,1)="+",LEFT(FP90,LEN(FP90)-1),CONCATENATE(FP90,"+")),IF(SUM($FR90:$GU90)&gt;$FP$18,INDEX($FR$73:$GU$170,$FO88*5/2+1,MATCH(0.5,FR90:GU90,0)),"")),"")</f>
        <v/>
      </c>
      <c r="FR90" s="88" t="str">
        <f t="shared" ref="FR90:GU90" si="3002">IF(AND($BV$6="D",LEFT(FR88,1)="C"),IF(COUNTIF($FR89:$GU89,FR89)&gt;$FP$18,INDEX(Hyb_Tech_Value,MATCH(FR88,Hyb_Code,0)),""),IF(COUNTIF($FR89:$GU89,FR89)&gt;$FP$18,INDEX(Hyb_Tech_Value,MATCH(FR88,Hyb_Code,0)),""))</f>
        <v/>
      </c>
      <c r="FS90" s="88" t="str">
        <f t="shared" si="3002"/>
        <v/>
      </c>
      <c r="FT90" s="88" t="str">
        <f t="shared" si="3002"/>
        <v/>
      </c>
      <c r="FU90" s="88" t="str">
        <f t="shared" si="3002"/>
        <v/>
      </c>
      <c r="FV90" s="88" t="str">
        <f t="shared" si="3002"/>
        <v/>
      </c>
      <c r="FW90" s="88" t="str">
        <f t="shared" si="3002"/>
        <v/>
      </c>
      <c r="FX90" s="88" t="str">
        <f t="shared" si="3002"/>
        <v/>
      </c>
      <c r="FY90" s="88" t="str">
        <f t="shared" si="3002"/>
        <v/>
      </c>
      <c r="FZ90" s="88" t="str">
        <f t="shared" si="3002"/>
        <v/>
      </c>
      <c r="GA90" s="88" t="str">
        <f t="shared" si="3002"/>
        <v/>
      </c>
      <c r="GB90" s="88" t="str">
        <f t="shared" si="3002"/>
        <v/>
      </c>
      <c r="GC90" s="88" t="str">
        <f t="shared" si="3002"/>
        <v/>
      </c>
      <c r="GD90" s="88" t="str">
        <f t="shared" si="3002"/>
        <v/>
      </c>
      <c r="GE90" s="88" t="str">
        <f t="shared" si="3002"/>
        <v/>
      </c>
      <c r="GF90" s="88" t="str">
        <f t="shared" si="3002"/>
        <v/>
      </c>
      <c r="GG90" s="88" t="str">
        <f t="shared" si="3002"/>
        <v/>
      </c>
      <c r="GH90" s="88" t="str">
        <f t="shared" si="3002"/>
        <v/>
      </c>
      <c r="GI90" s="88" t="str">
        <f t="shared" si="3002"/>
        <v/>
      </c>
      <c r="GJ90" s="88" t="str">
        <f t="shared" si="3002"/>
        <v/>
      </c>
      <c r="GK90" s="88" t="str">
        <f t="shared" si="3002"/>
        <v/>
      </c>
      <c r="GL90" s="88" t="str">
        <f t="shared" si="3002"/>
        <v/>
      </c>
      <c r="GM90" s="88" t="str">
        <f t="shared" si="3002"/>
        <v/>
      </c>
      <c r="GN90" s="88" t="str">
        <f t="shared" si="3002"/>
        <v/>
      </c>
      <c r="GO90" s="88" t="str">
        <f t="shared" si="3002"/>
        <v/>
      </c>
      <c r="GP90" s="88" t="str">
        <f t="shared" si="3002"/>
        <v/>
      </c>
      <c r="GQ90" s="88" t="str">
        <f t="shared" si="3002"/>
        <v/>
      </c>
      <c r="GR90" s="88" t="str">
        <f t="shared" si="3002"/>
        <v/>
      </c>
      <c r="GS90" s="88" t="str">
        <f t="shared" si="3002"/>
        <v/>
      </c>
      <c r="GT90" s="88" t="str">
        <f t="shared" si="3002"/>
        <v/>
      </c>
      <c r="GU90" s="88" t="str">
        <f t="shared" si="3002"/>
        <v/>
      </c>
    </row>
    <row r="91" spans="5:203" x14ac:dyDescent="0.35">
      <c r="F91" s="60" t="s">
        <v>1357</v>
      </c>
      <c r="G91" s="116">
        <v>45316</v>
      </c>
      <c r="H91" s="117"/>
      <c r="I91" s="119" t="s">
        <v>1358</v>
      </c>
      <c r="J91" s="12" t="s">
        <v>1359</v>
      </c>
      <c r="EG91" s="88">
        <f t="shared" ref="EG91" si="3003">COUNTIF(EK91:FN91,0.3)</f>
        <v>0</v>
      </c>
      <c r="EH91" s="88">
        <f t="shared" ref="EH91" si="3004">COUNTIF(EK91:FN91,0.5)</f>
        <v>0</v>
      </c>
      <c r="EI91" s="88" t="str">
        <f t="shared" ref="EI91" si="3005">IF(AND(T23="",OR(EG91&gt;5,EH91&gt;5)),"X",IF(SUM(EK91:FN91)&gt;5,"X",""))</f>
        <v/>
      </c>
      <c r="EK91" s="88" t="str">
        <f t="shared" ref="EK91" si="3006">IF($T$5="",IF(RIGHT(J37,4)="*0,5",0.5,IF(RIGHT(J37,4)="*0,3",0.3,IF(EK38&lt;&gt;"",1,""))),IF(EK38&lt;&gt;"",IF(OR(RIGHT(J37,4)="*0,5",RIGHT(J37,4)="*0,3"),0.5,1),""))</f>
        <v/>
      </c>
      <c r="EL91" s="88" t="str">
        <f t="shared" ref="EL91" si="3007">IF($T$5="",IF(RIGHT(K37,4)="*0,5",0.5,IF(RIGHT(K37,4)="*0,3",0.3,IF(EL38&lt;&gt;"",1,""))),IF(EL38&lt;&gt;"",IF(OR(RIGHT(K37,4)="*0,5",RIGHT(K37,4)="*0,3"),0.5,1),""))</f>
        <v/>
      </c>
      <c r="EM91" s="88" t="str">
        <f t="shared" ref="EM91" si="3008">IF($T$5="",IF(RIGHT(L37,4)="*0,5",0.5,IF(RIGHT(L37,4)="*0,3",0.3,IF(EM38&lt;&gt;"",1,""))),IF(EM38&lt;&gt;"",IF(OR(RIGHT(L37,4)="*0,5",RIGHT(L37,4)="*0,3"),0.5,1),""))</f>
        <v/>
      </c>
      <c r="EN91" s="88" t="str">
        <f t="shared" ref="EN91" si="3009">IF($T$5="",IF(RIGHT(M37,4)="*0,5",0.5,IF(RIGHT(M37,4)="*0,3",0.3,IF(EN38&lt;&gt;"",1,""))),IF(EN38&lt;&gt;"",IF(OR(RIGHT(M37,4)="*0,5",RIGHT(M37,4)="*0,3"),0.5,1),""))</f>
        <v/>
      </c>
      <c r="EO91" s="88" t="str">
        <f t="shared" ref="EO91" si="3010">IF($T$5="",IF(RIGHT(N37,4)="*0,5",0.5,IF(RIGHT(N37,4)="*0,3",0.3,IF(EO38&lt;&gt;"",1,""))),IF(EO38&lt;&gt;"",IF(OR(RIGHT(N37,4)="*0,5",RIGHT(N37,4)="*0,3"),0.5,1),""))</f>
        <v/>
      </c>
      <c r="EP91" s="88" t="str">
        <f t="shared" ref="EP91" si="3011">IF($T$5="",IF(RIGHT(O37,4)="*0,5",0.5,IF(RIGHT(O37,4)="*0,3",0.3,IF(EP38&lt;&gt;"",1,""))),IF(EP38&lt;&gt;"",IF(OR(RIGHT(O37,4)="*0,5",RIGHT(O37,4)="*0,3"),0.5,1),""))</f>
        <v/>
      </c>
      <c r="EQ91" s="88" t="str">
        <f t="shared" ref="EQ91" si="3012">IF($T$5="",IF(RIGHT(P37,4)="*0,5",0.5,IF(RIGHT(P37,4)="*0,3",0.3,IF(EQ38&lt;&gt;"",1,""))),IF(EQ38&lt;&gt;"",IF(OR(RIGHT(P37,4)="*0,5",RIGHT(P37,4)="*0,3"),0.5,1),""))</f>
        <v/>
      </c>
      <c r="ER91" s="88" t="str">
        <f t="shared" ref="ER91" si="3013">IF($T$5="",IF(RIGHT(Q37,4)="*0,5",0.5,IF(RIGHT(Q37,4)="*0,3",0.3,IF(ER38&lt;&gt;"",1,""))),IF(ER38&lt;&gt;"",IF(OR(RIGHT(Q37,4)="*0,5",RIGHT(Q37,4)="*0,3"),0.5,1),""))</f>
        <v/>
      </c>
      <c r="ES91" s="88" t="str">
        <f t="shared" ref="ES91" si="3014">IF($T$5="",IF(RIGHT(R37,4)="*0,5",0.5,IF(RIGHT(R37,4)="*0,3",0.3,IF(ES38&lt;&gt;"",1,""))),IF(ES38&lt;&gt;"",IF(OR(RIGHT(R37,4)="*0,5",RIGHT(R37,4)="*0,3"),0.5,1),""))</f>
        <v/>
      </c>
      <c r="ET91" s="88" t="str">
        <f t="shared" ref="ET91" si="3015">IF($T$5="",IF(RIGHT(S37,4)="*0,5",0.5,IF(RIGHT(S37,4)="*0,3",0.3,IF(ET38&lt;&gt;"",1,""))),IF(ET38&lt;&gt;"",IF(OR(RIGHT(S37,4)="*0,5",RIGHT(S37,4)="*0,3"),0.5,1),""))</f>
        <v/>
      </c>
      <c r="EU91" s="88" t="str">
        <f t="shared" ref="EU91" si="3016">IF($T$5="",IF(RIGHT(T37,4)="*0,5",0.5,IF(RIGHT(T37,4)="*0,3",0.3,IF(EU38&lt;&gt;"",1,""))),IF(EU38&lt;&gt;"",IF(OR(RIGHT(T37,4)="*0,5",RIGHT(T37,4)="*0,3"),0.5,1),""))</f>
        <v/>
      </c>
      <c r="EV91" s="88" t="str">
        <f t="shared" ref="EV91" si="3017">IF($T$5="",IF(RIGHT(U37,4)="*0,5",0.5,IF(RIGHT(U37,4)="*0,3",0.3,IF(EV38&lt;&gt;"",1,""))),IF(EV38&lt;&gt;"",IF(OR(RIGHT(U37,4)="*0,5",RIGHT(U37,4)="*0,3"),0.5,1),""))</f>
        <v/>
      </c>
      <c r="EW91" s="88" t="str">
        <f t="shared" ref="EW91" si="3018">IF($T$5="",IF(RIGHT(V37,4)="*0,5",0.5,IF(RIGHT(V37,4)="*0,3",0.3,IF(EW38&lt;&gt;"",1,""))),IF(EW38&lt;&gt;"",IF(OR(RIGHT(V37,4)="*0,5",RIGHT(V37,4)="*0,3"),0.5,1),""))</f>
        <v/>
      </c>
      <c r="EX91" s="88" t="str">
        <f t="shared" ref="EX91" si="3019">IF($T$5="",IF(RIGHT(W37,4)="*0,5",0.5,IF(RIGHT(W37,4)="*0,3",0.3,IF(EX38&lt;&gt;"",1,""))),IF(EX38&lt;&gt;"",IF(OR(RIGHT(W37,4)="*0,5",RIGHT(W37,4)="*0,3"),0.5,1),""))</f>
        <v/>
      </c>
      <c r="EY91" s="88" t="str">
        <f t="shared" ref="EY91" si="3020">IF($T$5="",IF(RIGHT(X37,4)="*0,5",0.5,IF(RIGHT(X37,4)="*0,3",0.3,IF(EY38&lt;&gt;"",1,""))),IF(EY38&lt;&gt;"",IF(OR(RIGHT(X37,4)="*0,5",RIGHT(X37,4)="*0,3"),0.5,1),""))</f>
        <v/>
      </c>
      <c r="EZ91" s="88" t="str">
        <f t="shared" ref="EZ91" si="3021">IF($T$5="",IF(RIGHT(Y37,4)="*0,5",0.5,IF(RIGHT(Y37,4)="*0,3",0.3,IF(EZ38&lt;&gt;"",1,""))),IF(EZ38&lt;&gt;"",IF(OR(RIGHT(Y37,4)="*0,5",RIGHT(Y37,4)="*0,3"),0.5,1),""))</f>
        <v/>
      </c>
      <c r="FA91" s="88" t="str">
        <f t="shared" ref="FA91" si="3022">IF($T$5="",IF(RIGHT(Z37,4)="*0,5",0.5,IF(RIGHT(Z37,4)="*0,3",0.3,IF(FA38&lt;&gt;"",1,""))),IF(FA38&lt;&gt;"",IF(OR(RIGHT(Z37,4)="*0,5",RIGHT(Z37,4)="*0,3"),0.5,1),""))</f>
        <v/>
      </c>
      <c r="FB91" s="88" t="str">
        <f t="shared" ref="FB91" si="3023">IF($T$5="",IF(RIGHT(AA37,4)="*0,5",0.5,IF(RIGHT(AA37,4)="*0,3",0.3,IF(FB38&lt;&gt;"",1,""))),IF(FB38&lt;&gt;"",IF(OR(RIGHT(AA37,4)="*0,5",RIGHT(AA37,4)="*0,3"),0.5,1),""))</f>
        <v/>
      </c>
      <c r="FC91" s="88" t="str">
        <f t="shared" ref="FC91" si="3024">IF($T$5="",IF(RIGHT(AB37,4)="*0,5",0.5,IF(RIGHT(AB37,4)="*0,3",0.3,IF(FC38&lt;&gt;"",1,""))),IF(FC38&lt;&gt;"",IF(OR(RIGHT(AB37,4)="*0,5",RIGHT(AB37,4)="*0,3"),0.5,1),""))</f>
        <v/>
      </c>
      <c r="FD91" s="88" t="str">
        <f t="shared" ref="FD91" si="3025">IF($T$5="",IF(RIGHT(AC37,4)="*0,5",0.5,IF(RIGHT(AC37,4)="*0,3",0.3,IF(FD38&lt;&gt;"",1,""))),IF(FD38&lt;&gt;"",IF(OR(RIGHT(AC37,4)="*0,5",RIGHT(AC37,4)="*0,3"),0.5,1),""))</f>
        <v/>
      </c>
      <c r="FE91" s="88" t="str">
        <f t="shared" ref="FE91" si="3026">IF($T$5="",IF(RIGHT(AD37,4)="*0,5",0.5,IF(RIGHT(AD37,4)="*0,3",0.3,IF(FE38&lt;&gt;"",1,""))),IF(FE38&lt;&gt;"",IF(OR(RIGHT(AD37,4)="*0,5",RIGHT(AD37,4)="*0,3"),0.5,1),""))</f>
        <v/>
      </c>
      <c r="FF91" s="88" t="str">
        <f t="shared" ref="FF91" si="3027">IF($T$5="",IF(RIGHT(AE37,4)="*0,5",0.5,IF(RIGHT(AE37,4)="*0,3",0.3,IF(FF38&lt;&gt;"",1,""))),IF(FF38&lt;&gt;"",IF(OR(RIGHT(AE37,4)="*0,5",RIGHT(AE37,4)="*0,3"),0.5,1),""))</f>
        <v/>
      </c>
      <c r="FG91" s="88" t="str">
        <f t="shared" ref="FG91" si="3028">IF($T$5="",IF(RIGHT(AF37,4)="*0,5",0.5,IF(RIGHT(AF37,4)="*0,3",0.3,IF(FG38&lt;&gt;"",1,""))),IF(FG38&lt;&gt;"",IF(OR(RIGHT(AF37,4)="*0,5",RIGHT(AF37,4)="*0,3"),0.5,1),""))</f>
        <v/>
      </c>
      <c r="FH91" s="88" t="str">
        <f t="shared" ref="FH91" si="3029">IF($T$5="",IF(RIGHT(AG37,4)="*0,5",0.5,IF(RIGHT(AG37,4)="*0,3",0.3,IF(FH38&lt;&gt;"",1,""))),IF(FH38&lt;&gt;"",IF(OR(RIGHT(AG37,4)="*0,5",RIGHT(AG37,4)="*0,3"),0.5,1),""))</f>
        <v/>
      </c>
      <c r="FI91" s="88" t="str">
        <f t="shared" ref="FI91" si="3030">IF($T$5="",IF(RIGHT(AH37,4)="*0,5",0.5,IF(RIGHT(AH37,4)="*0,3",0.3,IF(FI38&lt;&gt;"",1,""))),IF(FI38&lt;&gt;"",IF(OR(RIGHT(AH37,4)="*0,5",RIGHT(AH37,4)="*0,3"),0.5,1),""))</f>
        <v/>
      </c>
      <c r="FJ91" s="88" t="str">
        <f t="shared" ref="FJ91" si="3031">IF($T$5="",IF(RIGHT(AI37,4)="*0,5",0.5,IF(RIGHT(AI37,4)="*0,3",0.3,IF(FJ38&lt;&gt;"",1,""))),IF(FJ38&lt;&gt;"",IF(OR(RIGHT(AI37,4)="*0,5",RIGHT(AI37,4)="*0,3"),0.5,1),""))</f>
        <v/>
      </c>
      <c r="FK91" s="88" t="str">
        <f t="shared" ref="FK91" si="3032">IF($T$5="",IF(RIGHT(AJ37,4)="*0,5",0.5,IF(RIGHT(AJ37,4)="*0,3",0.3,IF(FK38&lt;&gt;"",1,""))),IF(FK38&lt;&gt;"",IF(OR(RIGHT(AJ37,4)="*0,5",RIGHT(AJ37,4)="*0,3"),0.5,1),""))</f>
        <v/>
      </c>
      <c r="FL91" s="88" t="str">
        <f t="shared" ref="FL91" si="3033">IF($T$5="",IF(RIGHT(AK37,4)="*0,5",0.5,IF(RIGHT(AK37,4)="*0,3",0.3,IF(FL38&lt;&gt;"",1,""))),IF(FL38&lt;&gt;"",IF(OR(RIGHT(AK37,4)="*0,5",RIGHT(AK37,4)="*0,3"),0.5,1),""))</f>
        <v/>
      </c>
      <c r="FM91" s="88" t="str">
        <f t="shared" ref="FM91" si="3034">IF($T$5="",IF(RIGHT(AL37,4)="*0,5",0.5,IF(RIGHT(AL37,4)="*0,3",0.3,IF(FM38&lt;&gt;"",1,""))),IF(FM38&lt;&gt;"",IF(OR(RIGHT(AL37,4)="*0,5",RIGHT(AL37,4)="*0,3"),0.5,1),""))</f>
        <v/>
      </c>
      <c r="FN91" s="88" t="str">
        <f t="shared" ref="FN91" si="3035">IF($T$5="",IF(RIGHT(AM37,4)="*0,5",0.5,IF(RIGHT(AM37,4)="*0,3",0.3,IF(FN38&lt;&gt;"",1,""))),IF(FN38&lt;&gt;"",IF(OR(RIGHT(AM37,4)="*0,5",RIGHT(AM37,4)="*0,3"),0.5,1),""))</f>
        <v/>
      </c>
      <c r="FQ91" s="88"/>
      <c r="FR91" s="88" t="str">
        <f t="shared" ref="FR91:GU91" si="3036">IFERROR(IF(LEFT(FR88,FIND("*",FR88)-1)=LEFT($FQ$73,FIND("*",$FQ$73)-1),0.5,""),"")</f>
        <v/>
      </c>
      <c r="FS91" s="88" t="str">
        <f t="shared" si="3036"/>
        <v/>
      </c>
      <c r="FT91" s="88" t="str">
        <f t="shared" si="3036"/>
        <v/>
      </c>
      <c r="FU91" s="88" t="str">
        <f t="shared" si="3036"/>
        <v/>
      </c>
      <c r="FV91" s="88" t="str">
        <f t="shared" si="3036"/>
        <v/>
      </c>
      <c r="FW91" s="88" t="str">
        <f t="shared" si="3036"/>
        <v/>
      </c>
      <c r="FX91" s="88" t="str">
        <f t="shared" si="3036"/>
        <v/>
      </c>
      <c r="FY91" s="88" t="str">
        <f t="shared" si="3036"/>
        <v/>
      </c>
      <c r="FZ91" s="88" t="str">
        <f t="shared" si="3036"/>
        <v/>
      </c>
      <c r="GA91" s="88" t="str">
        <f t="shared" si="3036"/>
        <v/>
      </c>
      <c r="GB91" s="88" t="str">
        <f t="shared" si="3036"/>
        <v/>
      </c>
      <c r="GC91" s="88" t="str">
        <f t="shared" si="3036"/>
        <v/>
      </c>
      <c r="GD91" s="88" t="str">
        <f t="shared" si="3036"/>
        <v/>
      </c>
      <c r="GE91" s="88" t="str">
        <f t="shared" si="3036"/>
        <v/>
      </c>
      <c r="GF91" s="88" t="str">
        <f t="shared" si="3036"/>
        <v/>
      </c>
      <c r="GG91" s="88" t="str">
        <f t="shared" si="3036"/>
        <v/>
      </c>
      <c r="GH91" s="88" t="str">
        <f t="shared" si="3036"/>
        <v/>
      </c>
      <c r="GI91" s="88" t="str">
        <f t="shared" si="3036"/>
        <v/>
      </c>
      <c r="GJ91" s="88" t="str">
        <f t="shared" si="3036"/>
        <v/>
      </c>
      <c r="GK91" s="88" t="str">
        <f t="shared" si="3036"/>
        <v/>
      </c>
      <c r="GL91" s="88" t="str">
        <f t="shared" si="3036"/>
        <v/>
      </c>
      <c r="GM91" s="88" t="str">
        <f t="shared" si="3036"/>
        <v/>
      </c>
      <c r="GN91" s="88" t="str">
        <f t="shared" si="3036"/>
        <v/>
      </c>
      <c r="GO91" s="88" t="str">
        <f t="shared" si="3036"/>
        <v/>
      </c>
      <c r="GP91" s="88" t="str">
        <f t="shared" si="3036"/>
        <v/>
      </c>
      <c r="GQ91" s="88" t="str">
        <f t="shared" si="3036"/>
        <v/>
      </c>
      <c r="GR91" s="88" t="str">
        <f t="shared" si="3036"/>
        <v/>
      </c>
      <c r="GS91" s="88" t="str">
        <f t="shared" si="3036"/>
        <v/>
      </c>
      <c r="GT91" s="88" t="str">
        <f t="shared" si="3036"/>
        <v/>
      </c>
      <c r="GU91" s="88" t="str">
        <f t="shared" si="3036"/>
        <v/>
      </c>
    </row>
    <row r="92" spans="5:203" x14ac:dyDescent="0.35">
      <c r="G92" s="116"/>
      <c r="H92" s="117"/>
      <c r="I92" s="119" t="s">
        <v>1362</v>
      </c>
      <c r="J92" s="12" t="s">
        <v>1365</v>
      </c>
      <c r="EO92" s="88"/>
      <c r="EP92" s="88"/>
      <c r="EQ92" s="88"/>
      <c r="ER92" s="88"/>
      <c r="ES92" s="88"/>
      <c r="ET92" s="88"/>
      <c r="EU92" s="88"/>
      <c r="EV92" s="88"/>
      <c r="EW92" s="88"/>
      <c r="EX92" s="88"/>
      <c r="EY92" s="88"/>
      <c r="EZ92" s="88"/>
      <c r="FA92" s="88"/>
      <c r="FB92" s="88"/>
      <c r="FC92" s="88"/>
      <c r="FD92" s="88"/>
      <c r="FE92" s="88"/>
      <c r="FF92" s="88"/>
      <c r="FG92" s="88"/>
      <c r="FH92" s="88"/>
      <c r="FI92" s="88"/>
      <c r="FJ92" s="88"/>
      <c r="FK92" s="88"/>
      <c r="FL92" s="88"/>
      <c r="FM92" s="88"/>
      <c r="FN92" s="88"/>
      <c r="FQ92" s="88"/>
      <c r="FR92" s="88"/>
      <c r="FS92" s="88"/>
      <c r="FT92" s="88"/>
      <c r="FU92" s="88"/>
      <c r="FV92" s="88"/>
      <c r="FW92" s="88"/>
      <c r="FX92" s="88"/>
      <c r="FY92" s="88"/>
      <c r="FZ92" s="88"/>
      <c r="GA92" s="88"/>
      <c r="GB92" s="88"/>
      <c r="GC92" s="88"/>
      <c r="GD92" s="88"/>
      <c r="GE92" s="88"/>
      <c r="GF92" s="88"/>
      <c r="GG92" s="88"/>
      <c r="GH92" s="88"/>
      <c r="GI92" s="88"/>
      <c r="GJ92" s="88"/>
      <c r="GK92" s="88"/>
      <c r="GL92" s="88"/>
      <c r="GM92" s="88"/>
      <c r="GN92" s="88"/>
      <c r="GO92" s="88"/>
      <c r="GP92" s="88"/>
      <c r="GQ92" s="88"/>
      <c r="GR92" s="88"/>
      <c r="GS92" s="88"/>
      <c r="GT92" s="88"/>
      <c r="GU92" s="88"/>
    </row>
    <row r="93" spans="5:203" x14ac:dyDescent="0.35">
      <c r="G93" s="116"/>
      <c r="H93" s="117"/>
      <c r="I93" s="119" t="s">
        <v>1363</v>
      </c>
      <c r="J93" s="12" t="s">
        <v>1364</v>
      </c>
      <c r="EG93" s="88">
        <f t="shared" ref="EG93" si="3037">COUNTIF(EK93:FN93,0.3)</f>
        <v>0</v>
      </c>
      <c r="EH93" s="88">
        <f t="shared" ref="EH93" si="3038">COUNTIF(EK93:FN93,0.5)</f>
        <v>0</v>
      </c>
      <c r="EI93" s="88" t="str">
        <f t="shared" ref="EI93" si="3039">IF(AND(T25="",OR(EG93&gt;5,EH93&gt;5)),"X",IF(SUM(EK93:FN93)&gt;5,"X",""))</f>
        <v/>
      </c>
      <c r="EK93" s="88" t="str">
        <f t="shared" ref="EK93" si="3040">IF($T$5="",IF(RIGHT(J39,4)="*0,5",0.5,IF(RIGHT(J39,4)="*0,3",0.3,IF(EK40&lt;&gt;"",1,""))),IF(EK40&lt;&gt;"",IF(OR(RIGHT(J39,4)="*0,5",RIGHT(J39,4)="*0,3"),0.5,1),""))</f>
        <v/>
      </c>
      <c r="EL93" s="88" t="str">
        <f t="shared" ref="EL93" si="3041">IF($T$5="",IF(RIGHT(K39,4)="*0,5",0.5,IF(RIGHT(K39,4)="*0,3",0.3,IF(EL40&lt;&gt;"",1,""))),IF(EL40&lt;&gt;"",IF(OR(RIGHT(K39,4)="*0,5",RIGHT(K39,4)="*0,3"),0.5,1),""))</f>
        <v/>
      </c>
      <c r="EM93" s="88" t="str">
        <f t="shared" ref="EM93" si="3042">IF($T$5="",IF(RIGHT(L39,4)="*0,5",0.5,IF(RIGHT(L39,4)="*0,3",0.3,IF(EM40&lt;&gt;"",1,""))),IF(EM40&lt;&gt;"",IF(OR(RIGHT(L39,4)="*0,5",RIGHT(L39,4)="*0,3"),0.5,1),""))</f>
        <v/>
      </c>
      <c r="EN93" s="88" t="str">
        <f t="shared" ref="EN93" si="3043">IF($T$5="",IF(RIGHT(M39,4)="*0,5",0.5,IF(RIGHT(M39,4)="*0,3",0.3,IF(EN40&lt;&gt;"",1,""))),IF(EN40&lt;&gt;"",IF(OR(RIGHT(M39,4)="*0,5",RIGHT(M39,4)="*0,3"),0.5,1),""))</f>
        <v/>
      </c>
      <c r="EO93" s="88" t="str">
        <f t="shared" ref="EO93" si="3044">IF($T$5="",IF(RIGHT(N39,4)="*0,5",0.5,IF(RIGHT(N39,4)="*0,3",0.3,IF(EO40&lt;&gt;"",1,""))),IF(EO40&lt;&gt;"",IF(OR(RIGHT(N39,4)="*0,5",RIGHT(N39,4)="*0,3"),0.5,1),""))</f>
        <v/>
      </c>
      <c r="EP93" s="88" t="str">
        <f t="shared" ref="EP93" si="3045">IF($T$5="",IF(RIGHT(O39,4)="*0,5",0.5,IF(RIGHT(O39,4)="*0,3",0.3,IF(EP40&lt;&gt;"",1,""))),IF(EP40&lt;&gt;"",IF(OR(RIGHT(O39,4)="*0,5",RIGHT(O39,4)="*0,3"),0.5,1),""))</f>
        <v/>
      </c>
      <c r="EQ93" s="88" t="str">
        <f t="shared" ref="EQ93" si="3046">IF($T$5="",IF(RIGHT(P39,4)="*0,5",0.5,IF(RIGHT(P39,4)="*0,3",0.3,IF(EQ40&lt;&gt;"",1,""))),IF(EQ40&lt;&gt;"",IF(OR(RIGHT(P39,4)="*0,5",RIGHT(P39,4)="*0,3"),0.5,1),""))</f>
        <v/>
      </c>
      <c r="ER93" s="88" t="str">
        <f t="shared" ref="ER93" si="3047">IF($T$5="",IF(RIGHT(Q39,4)="*0,5",0.5,IF(RIGHT(Q39,4)="*0,3",0.3,IF(ER40&lt;&gt;"",1,""))),IF(ER40&lt;&gt;"",IF(OR(RIGHT(Q39,4)="*0,5",RIGHT(Q39,4)="*0,3"),0.5,1),""))</f>
        <v/>
      </c>
      <c r="ES93" s="88" t="str">
        <f t="shared" ref="ES93" si="3048">IF($T$5="",IF(RIGHT(R39,4)="*0,5",0.5,IF(RIGHT(R39,4)="*0,3",0.3,IF(ES40&lt;&gt;"",1,""))),IF(ES40&lt;&gt;"",IF(OR(RIGHT(R39,4)="*0,5",RIGHT(R39,4)="*0,3"),0.5,1),""))</f>
        <v/>
      </c>
      <c r="ET93" s="88" t="str">
        <f t="shared" ref="ET93" si="3049">IF($T$5="",IF(RIGHT(S39,4)="*0,5",0.5,IF(RIGHT(S39,4)="*0,3",0.3,IF(ET40&lt;&gt;"",1,""))),IF(ET40&lt;&gt;"",IF(OR(RIGHT(S39,4)="*0,5",RIGHT(S39,4)="*0,3"),0.5,1),""))</f>
        <v/>
      </c>
      <c r="EU93" s="88" t="str">
        <f t="shared" ref="EU93" si="3050">IF($T$5="",IF(RIGHT(T39,4)="*0,5",0.5,IF(RIGHT(T39,4)="*0,3",0.3,IF(EU40&lt;&gt;"",1,""))),IF(EU40&lt;&gt;"",IF(OR(RIGHT(T39,4)="*0,5",RIGHT(T39,4)="*0,3"),0.5,1),""))</f>
        <v/>
      </c>
      <c r="EV93" s="88" t="str">
        <f t="shared" ref="EV93" si="3051">IF($T$5="",IF(RIGHT(U39,4)="*0,5",0.5,IF(RIGHT(U39,4)="*0,3",0.3,IF(EV40&lt;&gt;"",1,""))),IF(EV40&lt;&gt;"",IF(OR(RIGHT(U39,4)="*0,5",RIGHT(U39,4)="*0,3"),0.5,1),""))</f>
        <v/>
      </c>
      <c r="EW93" s="88" t="str">
        <f t="shared" ref="EW93" si="3052">IF($T$5="",IF(RIGHT(V39,4)="*0,5",0.5,IF(RIGHT(V39,4)="*0,3",0.3,IF(EW40&lt;&gt;"",1,""))),IF(EW40&lt;&gt;"",IF(OR(RIGHT(V39,4)="*0,5",RIGHT(V39,4)="*0,3"),0.5,1),""))</f>
        <v/>
      </c>
      <c r="EX93" s="88" t="str">
        <f t="shared" ref="EX93" si="3053">IF($T$5="",IF(RIGHT(W39,4)="*0,5",0.5,IF(RIGHT(W39,4)="*0,3",0.3,IF(EX40&lt;&gt;"",1,""))),IF(EX40&lt;&gt;"",IF(OR(RIGHT(W39,4)="*0,5",RIGHT(W39,4)="*0,3"),0.5,1),""))</f>
        <v/>
      </c>
      <c r="EY93" s="88" t="str">
        <f t="shared" ref="EY93" si="3054">IF($T$5="",IF(RIGHT(X39,4)="*0,5",0.5,IF(RIGHT(X39,4)="*0,3",0.3,IF(EY40&lt;&gt;"",1,""))),IF(EY40&lt;&gt;"",IF(OR(RIGHT(X39,4)="*0,5",RIGHT(X39,4)="*0,3"),0.5,1),""))</f>
        <v/>
      </c>
      <c r="EZ93" s="88" t="str">
        <f t="shared" ref="EZ93" si="3055">IF($T$5="",IF(RIGHT(Y39,4)="*0,5",0.5,IF(RIGHT(Y39,4)="*0,3",0.3,IF(EZ40&lt;&gt;"",1,""))),IF(EZ40&lt;&gt;"",IF(OR(RIGHT(Y39,4)="*0,5",RIGHT(Y39,4)="*0,3"),0.5,1),""))</f>
        <v/>
      </c>
      <c r="FA93" s="88" t="str">
        <f t="shared" ref="FA93" si="3056">IF($T$5="",IF(RIGHT(Z39,4)="*0,5",0.5,IF(RIGHT(Z39,4)="*0,3",0.3,IF(FA40&lt;&gt;"",1,""))),IF(FA40&lt;&gt;"",IF(OR(RIGHT(Z39,4)="*0,5",RIGHT(Z39,4)="*0,3"),0.5,1),""))</f>
        <v/>
      </c>
      <c r="FB93" s="88" t="str">
        <f t="shared" ref="FB93" si="3057">IF($T$5="",IF(RIGHT(AA39,4)="*0,5",0.5,IF(RIGHT(AA39,4)="*0,3",0.3,IF(FB40&lt;&gt;"",1,""))),IF(FB40&lt;&gt;"",IF(OR(RIGHT(AA39,4)="*0,5",RIGHT(AA39,4)="*0,3"),0.5,1),""))</f>
        <v/>
      </c>
      <c r="FC93" s="88" t="str">
        <f t="shared" ref="FC93" si="3058">IF($T$5="",IF(RIGHT(AB39,4)="*0,5",0.5,IF(RIGHT(AB39,4)="*0,3",0.3,IF(FC40&lt;&gt;"",1,""))),IF(FC40&lt;&gt;"",IF(OR(RIGHT(AB39,4)="*0,5",RIGHT(AB39,4)="*0,3"),0.5,1),""))</f>
        <v/>
      </c>
      <c r="FD93" s="88" t="str">
        <f t="shared" ref="FD93" si="3059">IF($T$5="",IF(RIGHT(AC39,4)="*0,5",0.5,IF(RIGHT(AC39,4)="*0,3",0.3,IF(FD40&lt;&gt;"",1,""))),IF(FD40&lt;&gt;"",IF(OR(RIGHT(AC39,4)="*0,5",RIGHT(AC39,4)="*0,3"),0.5,1),""))</f>
        <v/>
      </c>
      <c r="FE93" s="88" t="str">
        <f t="shared" ref="FE93" si="3060">IF($T$5="",IF(RIGHT(AD39,4)="*0,5",0.5,IF(RIGHT(AD39,4)="*0,3",0.3,IF(FE40&lt;&gt;"",1,""))),IF(FE40&lt;&gt;"",IF(OR(RIGHT(AD39,4)="*0,5",RIGHT(AD39,4)="*0,3"),0.5,1),""))</f>
        <v/>
      </c>
      <c r="FF93" s="88" t="str">
        <f t="shared" ref="FF93" si="3061">IF($T$5="",IF(RIGHT(AE39,4)="*0,5",0.5,IF(RIGHT(AE39,4)="*0,3",0.3,IF(FF40&lt;&gt;"",1,""))),IF(FF40&lt;&gt;"",IF(OR(RIGHT(AE39,4)="*0,5",RIGHT(AE39,4)="*0,3"),0.5,1),""))</f>
        <v/>
      </c>
      <c r="FG93" s="88" t="str">
        <f t="shared" ref="FG93" si="3062">IF($T$5="",IF(RIGHT(AF39,4)="*0,5",0.5,IF(RIGHT(AF39,4)="*0,3",0.3,IF(FG40&lt;&gt;"",1,""))),IF(FG40&lt;&gt;"",IF(OR(RIGHT(AF39,4)="*0,5",RIGHT(AF39,4)="*0,3"),0.5,1),""))</f>
        <v/>
      </c>
      <c r="FH93" s="88" t="str">
        <f t="shared" ref="FH93" si="3063">IF($T$5="",IF(RIGHT(AG39,4)="*0,5",0.5,IF(RIGHT(AG39,4)="*0,3",0.3,IF(FH40&lt;&gt;"",1,""))),IF(FH40&lt;&gt;"",IF(OR(RIGHT(AG39,4)="*0,5",RIGHT(AG39,4)="*0,3"),0.5,1),""))</f>
        <v/>
      </c>
      <c r="FI93" s="88" t="str">
        <f t="shared" ref="FI93" si="3064">IF($T$5="",IF(RIGHT(AH39,4)="*0,5",0.5,IF(RIGHT(AH39,4)="*0,3",0.3,IF(FI40&lt;&gt;"",1,""))),IF(FI40&lt;&gt;"",IF(OR(RIGHT(AH39,4)="*0,5",RIGHT(AH39,4)="*0,3"),0.5,1),""))</f>
        <v/>
      </c>
      <c r="FJ93" s="88" t="str">
        <f t="shared" ref="FJ93" si="3065">IF($T$5="",IF(RIGHT(AI39,4)="*0,5",0.5,IF(RIGHT(AI39,4)="*0,3",0.3,IF(FJ40&lt;&gt;"",1,""))),IF(FJ40&lt;&gt;"",IF(OR(RIGHT(AI39,4)="*0,5",RIGHT(AI39,4)="*0,3"),0.5,1),""))</f>
        <v/>
      </c>
      <c r="FK93" s="88" t="str">
        <f t="shared" ref="FK93" si="3066">IF($T$5="",IF(RIGHT(AJ39,4)="*0,5",0.5,IF(RIGHT(AJ39,4)="*0,3",0.3,IF(FK40&lt;&gt;"",1,""))),IF(FK40&lt;&gt;"",IF(OR(RIGHT(AJ39,4)="*0,5",RIGHT(AJ39,4)="*0,3"),0.5,1),""))</f>
        <v/>
      </c>
      <c r="FL93" s="88" t="str">
        <f t="shared" ref="FL93" si="3067">IF($T$5="",IF(RIGHT(AK39,4)="*0,5",0.5,IF(RIGHT(AK39,4)="*0,3",0.3,IF(FL40&lt;&gt;"",1,""))),IF(FL40&lt;&gt;"",IF(OR(RIGHT(AK39,4)="*0,5",RIGHT(AK39,4)="*0,3"),0.5,1),""))</f>
        <v/>
      </c>
      <c r="FM93" s="88" t="str">
        <f t="shared" ref="FM93" si="3068">IF($T$5="",IF(RIGHT(AL39,4)="*0,5",0.5,IF(RIGHT(AL39,4)="*0,3",0.3,IF(FM40&lt;&gt;"",1,""))),IF(FM40&lt;&gt;"",IF(OR(RIGHT(AL39,4)="*0,5",RIGHT(AL39,4)="*0,3"),0.5,1),""))</f>
        <v/>
      </c>
      <c r="FN93" s="88" t="str">
        <f t="shared" ref="FN93" si="3069">IF($T$5="",IF(RIGHT(AM39,4)="*0,5",0.5,IF(RIGHT(AM39,4)="*0,3",0.3,IF(FN40&lt;&gt;"",1,""))),IF(FN40&lt;&gt;"",IF(OR(RIGHT(AM39,4)="*0,5",RIGHT(AM39,4)="*0,3"),0.5,1),""))</f>
        <v/>
      </c>
      <c r="FO93" s="91">
        <v>8</v>
      </c>
      <c r="FP93" s="88" t="str">
        <f t="shared" ref="FP93" si="3070">IF(SUM(FR96:GU96)&gt;2,FQ93,"")</f>
        <v/>
      </c>
      <c r="FQ93" s="88" t="str" cm="1">
        <f t="array" ref="FQ93">IF(SUM(FR95:GU95)&gt;0,_xlfn.LET(_xlpm.area,FR93:GU93,_xlpm.texts,_xlfn.UNIQUE(_xlfn._xlws.FILTER(_xlpm.area,_xlpm.area&lt;&gt;"")),_xlpm.number,COUNTIF(_xlpm.area,_xlpm.texts),INDEX(_xlpm.texts,MATCH(MAX(_xlpm.number),_xlpm.number,0))),"")</f>
        <v/>
      </c>
      <c r="FR93" s="88" cm="1">
        <f t="array" ref="FR93">_xlfn.LET(_xlpm.rad,$FO93+1,_xlpm.typ,INDEX($E$20:$E$68,_xlpm.rad),_xlpm.kod,INDEX(J$19:J$68,_xlpm.rad),IFERROR(IF(AND(_xlpm.typ="H",_xlpm.kod&lt;&gt;""),UPPER(_xlpm.kod),FR$18),FR$18))</f>
        <v>1</v>
      </c>
      <c r="FS93" s="88" cm="1">
        <f t="array" ref="FS93">_xlfn.LET(_xlpm.rad,$FO93+1,_xlpm.typ,INDEX($E$20:$E$68,_xlpm.rad),_xlpm.kod,INDEX(K$19:K$68,_xlpm.rad),IFERROR(IF(AND(_xlpm.typ="H",_xlpm.kod&lt;&gt;""),UPPER(_xlpm.kod),FS$18),FS$18))</f>
        <v>2</v>
      </c>
      <c r="FT93" s="88" cm="1">
        <f t="array" ref="FT93">_xlfn.LET(_xlpm.rad,$FO93+1,_xlpm.typ,INDEX($E$20:$E$68,_xlpm.rad),_xlpm.kod,INDEX(L$19:L$68,_xlpm.rad),IFERROR(IF(AND(_xlpm.typ="H",_xlpm.kod&lt;&gt;""),UPPER(_xlpm.kod),FT$18),FT$18))</f>
        <v>3</v>
      </c>
      <c r="FU93" s="88" cm="1">
        <f t="array" ref="FU93">_xlfn.LET(_xlpm.rad,$FO93+1,_xlpm.typ,INDEX($E$20:$E$68,_xlpm.rad),_xlpm.kod,INDEX(M$19:M$68,_xlpm.rad),IFERROR(IF(AND(_xlpm.typ="H",_xlpm.kod&lt;&gt;""),UPPER(_xlpm.kod),FU$18),FU$18))</f>
        <v>4</v>
      </c>
      <c r="FV93" s="88" cm="1">
        <f t="array" ref="FV93">_xlfn.LET(_xlpm.rad,$FO93+1,_xlpm.typ,INDEX($E$20:$E$68,_xlpm.rad),_xlpm.kod,INDEX(N$19:N$68,_xlpm.rad),IFERROR(IF(AND(_xlpm.typ="H",_xlpm.kod&lt;&gt;""),UPPER(_xlpm.kod),FV$18),FV$18))</f>
        <v>5</v>
      </c>
      <c r="FW93" s="88" cm="1">
        <f t="array" ref="FW93">_xlfn.LET(_xlpm.rad,$FO93+1,_xlpm.typ,INDEX($E$20:$E$68,_xlpm.rad),_xlpm.kod,INDEX(O$19:O$68,_xlpm.rad),IFERROR(IF(AND(_xlpm.typ="H",_xlpm.kod&lt;&gt;""),UPPER(_xlpm.kod),FW$18),FW$18))</f>
        <v>6</v>
      </c>
      <c r="FX93" s="88" cm="1">
        <f t="array" ref="FX93">_xlfn.LET(_xlpm.rad,$FO93+1,_xlpm.typ,INDEX($E$20:$E$68,_xlpm.rad),_xlpm.kod,INDEX(P$19:P$68,_xlpm.rad),IFERROR(IF(AND(_xlpm.typ="H",_xlpm.kod&lt;&gt;""),UPPER(_xlpm.kod),FX$18),FX$18))</f>
        <v>7</v>
      </c>
      <c r="FY93" s="88" cm="1">
        <f t="array" ref="FY93">_xlfn.LET(_xlpm.rad,$FO93+1,_xlpm.typ,INDEX($E$20:$E$68,_xlpm.rad),_xlpm.kod,INDEX(Q$19:Q$68,_xlpm.rad),IFERROR(IF(AND(_xlpm.typ="H",_xlpm.kod&lt;&gt;""),UPPER(_xlpm.kod),FY$18),FY$18))</f>
        <v>8</v>
      </c>
      <c r="FZ93" s="88" cm="1">
        <f t="array" ref="FZ93">_xlfn.LET(_xlpm.rad,$FO93+1,_xlpm.typ,INDEX($E$20:$E$68,_xlpm.rad),_xlpm.kod,INDEX(R$19:R$68,_xlpm.rad),IFERROR(IF(AND(_xlpm.typ="H",_xlpm.kod&lt;&gt;""),UPPER(_xlpm.kod),FZ$18),FZ$18))</f>
        <v>9</v>
      </c>
      <c r="GA93" s="88" cm="1">
        <f t="array" ref="GA93">_xlfn.LET(_xlpm.rad,$FO93+1,_xlpm.typ,INDEX($E$20:$E$68,_xlpm.rad),_xlpm.kod,INDEX(S$19:S$68,_xlpm.rad),IFERROR(IF(AND(_xlpm.typ="H",_xlpm.kod&lt;&gt;""),UPPER(_xlpm.kod),GA$18),GA$18))</f>
        <v>10</v>
      </c>
      <c r="GB93" s="88" cm="1">
        <f t="array" ref="GB93">_xlfn.LET(_xlpm.rad,$FO93+1,_xlpm.typ,INDEX($E$20:$E$68,_xlpm.rad),_xlpm.kod,INDEX(T$19:T$68,_xlpm.rad),IFERROR(IF(AND(_xlpm.typ="H",_xlpm.kod&lt;&gt;""),UPPER(_xlpm.kod),GB$18),GB$18))</f>
        <v>11</v>
      </c>
      <c r="GC93" s="88" cm="1">
        <f t="array" ref="GC93">_xlfn.LET(_xlpm.rad,$FO93+1,_xlpm.typ,INDEX($E$20:$E$68,_xlpm.rad),_xlpm.kod,INDEX(U$19:U$68,_xlpm.rad),IFERROR(IF(AND(_xlpm.typ="H",_xlpm.kod&lt;&gt;""),UPPER(_xlpm.kod),GC$18),GC$18))</f>
        <v>12</v>
      </c>
      <c r="GD93" s="88" cm="1">
        <f t="array" ref="GD93">_xlfn.LET(_xlpm.rad,$FO93+1,_xlpm.typ,INDEX($E$20:$E$68,_xlpm.rad),_xlpm.kod,INDEX(V$19:V$68,_xlpm.rad),IFERROR(IF(AND(_xlpm.typ="H",_xlpm.kod&lt;&gt;""),UPPER(_xlpm.kod),GD$18),GD$18))</f>
        <v>13</v>
      </c>
      <c r="GE93" s="88" cm="1">
        <f t="array" ref="GE93">_xlfn.LET(_xlpm.rad,$FO93+1,_xlpm.typ,INDEX($E$20:$E$68,_xlpm.rad),_xlpm.kod,INDEX(W$19:W$68,_xlpm.rad),IFERROR(IF(AND(_xlpm.typ="H",_xlpm.kod&lt;&gt;""),UPPER(_xlpm.kod),GE$18),GE$18))</f>
        <v>14</v>
      </c>
      <c r="GF93" s="88" cm="1">
        <f t="array" ref="GF93">_xlfn.LET(_xlpm.rad,$FO93+1,_xlpm.typ,INDEX($E$20:$E$68,_xlpm.rad),_xlpm.kod,INDEX(X$19:X$68,_xlpm.rad),IFERROR(IF(AND(_xlpm.typ="H",_xlpm.kod&lt;&gt;""),UPPER(_xlpm.kod),GF$18),GF$18))</f>
        <v>15</v>
      </c>
      <c r="GG93" s="88" cm="1">
        <f t="array" ref="GG93">_xlfn.LET(_xlpm.rad,$FO93+1,_xlpm.typ,INDEX($E$20:$E$68,_xlpm.rad),_xlpm.kod,INDEX(Y$19:Y$68,_xlpm.rad),IFERROR(IF(AND(_xlpm.typ="H",_xlpm.kod&lt;&gt;""),UPPER(_xlpm.kod),GG$18),GG$18))</f>
        <v>16</v>
      </c>
      <c r="GH93" s="88" cm="1">
        <f t="array" ref="GH93">_xlfn.LET(_xlpm.rad,$FO93+1,_xlpm.typ,INDEX($E$20:$E$68,_xlpm.rad),_xlpm.kod,INDEX(Z$19:Z$68,_xlpm.rad),IFERROR(IF(AND(_xlpm.typ="H",_xlpm.kod&lt;&gt;""),UPPER(_xlpm.kod),GH$18),GH$18))</f>
        <v>17</v>
      </c>
      <c r="GI93" s="88" cm="1">
        <f t="array" ref="GI93">_xlfn.LET(_xlpm.rad,$FO93+1,_xlpm.typ,INDEX($E$20:$E$68,_xlpm.rad),_xlpm.kod,INDEX(AA$19:AA$68,_xlpm.rad),IFERROR(IF(AND(_xlpm.typ="H",_xlpm.kod&lt;&gt;""),UPPER(_xlpm.kod),GI$18),GI$18))</f>
        <v>18</v>
      </c>
      <c r="GJ93" s="88" cm="1">
        <f t="array" ref="GJ93">_xlfn.LET(_xlpm.rad,$FO93+1,_xlpm.typ,INDEX($E$20:$E$68,_xlpm.rad),_xlpm.kod,INDEX(AB$19:AB$68,_xlpm.rad),IFERROR(IF(AND(_xlpm.typ="H",_xlpm.kod&lt;&gt;""),UPPER(_xlpm.kod),GJ$18),GJ$18))</f>
        <v>19</v>
      </c>
      <c r="GK93" s="88" cm="1">
        <f t="array" ref="GK93">_xlfn.LET(_xlpm.rad,$FO93+1,_xlpm.typ,INDEX($E$20:$E$68,_xlpm.rad),_xlpm.kod,INDEX(AC$19:AC$68,_xlpm.rad),IFERROR(IF(AND(_xlpm.typ="H",_xlpm.kod&lt;&gt;""),UPPER(_xlpm.kod),GK$18),GK$18))</f>
        <v>20</v>
      </c>
      <c r="GL93" s="88" cm="1">
        <f t="array" ref="GL93">_xlfn.LET(_xlpm.rad,$FO93+1,_xlpm.typ,INDEX($E$20:$E$68,_xlpm.rad),_xlpm.kod,INDEX(AD$19:AD$68,_xlpm.rad),IFERROR(IF(AND(_xlpm.typ="H",_xlpm.kod&lt;&gt;""),UPPER(_xlpm.kod),GL$18),GL$18))</f>
        <v>21</v>
      </c>
      <c r="GM93" s="88" cm="1">
        <f t="array" ref="GM93">_xlfn.LET(_xlpm.rad,$FO93+1,_xlpm.typ,INDEX($E$20:$E$68,_xlpm.rad),_xlpm.kod,INDEX(AE$19:AE$68,_xlpm.rad),IFERROR(IF(AND(_xlpm.typ="H",_xlpm.kod&lt;&gt;""),UPPER(_xlpm.kod),GM$18),GM$18))</f>
        <v>22</v>
      </c>
      <c r="GN93" s="88" cm="1">
        <f t="array" ref="GN93">_xlfn.LET(_xlpm.rad,$FO93+1,_xlpm.typ,INDEX($E$20:$E$68,_xlpm.rad),_xlpm.kod,INDEX(AF$19:AF$68,_xlpm.rad),IFERROR(IF(AND(_xlpm.typ="H",_xlpm.kod&lt;&gt;""),UPPER(_xlpm.kod),GN$18),GN$18))</f>
        <v>23</v>
      </c>
      <c r="GO93" s="88" cm="1">
        <f t="array" ref="GO93">_xlfn.LET(_xlpm.rad,$FO93+1,_xlpm.typ,INDEX($E$20:$E$68,_xlpm.rad),_xlpm.kod,INDEX(AG$19:AG$68,_xlpm.rad),IFERROR(IF(AND(_xlpm.typ="H",_xlpm.kod&lt;&gt;""),UPPER(_xlpm.kod),GO$18),GO$18))</f>
        <v>24</v>
      </c>
      <c r="GP93" s="88" cm="1">
        <f t="array" ref="GP93">_xlfn.LET(_xlpm.rad,$FO93+1,_xlpm.typ,INDEX($E$20:$E$68,_xlpm.rad),_xlpm.kod,INDEX(AH$19:AH$68,_xlpm.rad),IFERROR(IF(AND(_xlpm.typ="H",_xlpm.kod&lt;&gt;""),UPPER(_xlpm.kod),GP$18),GP$18))</f>
        <v>25</v>
      </c>
      <c r="GQ93" s="88" cm="1">
        <f t="array" ref="GQ93">_xlfn.LET(_xlpm.rad,$FO93+1,_xlpm.typ,INDEX($E$20:$E$68,_xlpm.rad),_xlpm.kod,INDEX(AI$19:AI$68,_xlpm.rad),IFERROR(IF(AND(_xlpm.typ="H",_xlpm.kod&lt;&gt;""),UPPER(_xlpm.kod),GQ$18),GQ$18))</f>
        <v>26</v>
      </c>
      <c r="GR93" s="88" cm="1">
        <f t="array" ref="GR93">_xlfn.LET(_xlpm.rad,$FO93+1,_xlpm.typ,INDEX($E$20:$E$68,_xlpm.rad),_xlpm.kod,INDEX(AJ$19:AJ$68,_xlpm.rad),IFERROR(IF(AND(_xlpm.typ="H",_xlpm.kod&lt;&gt;""),UPPER(_xlpm.kod),GR$18),GR$18))</f>
        <v>27</v>
      </c>
      <c r="GS93" s="88" cm="1">
        <f t="array" ref="GS93">_xlfn.LET(_xlpm.rad,$FO93+1,_xlpm.typ,INDEX($E$20:$E$68,_xlpm.rad),_xlpm.kod,INDEX(AK$19:AK$68,_xlpm.rad),IFERROR(IF(AND(_xlpm.typ="H",_xlpm.kod&lt;&gt;""),UPPER(_xlpm.kod),GS$18),GS$18))</f>
        <v>28</v>
      </c>
      <c r="GT93" s="88" cm="1">
        <f t="array" ref="GT93">_xlfn.LET(_xlpm.rad,$FO93+1,_xlpm.typ,INDEX($E$20:$E$68,_xlpm.rad),_xlpm.kod,INDEX(AL$19:AL$68,_xlpm.rad),IFERROR(IF(AND(_xlpm.typ="H",_xlpm.kod&lt;&gt;""),UPPER(_xlpm.kod),GT$18),GT$18))</f>
        <v>29</v>
      </c>
      <c r="GU93" s="88" cm="1">
        <f t="array" ref="GU93">_xlfn.LET(_xlpm.rad,$FO93+1,_xlpm.typ,INDEX($E$20:$E$68,_xlpm.rad),_xlpm.kod,INDEX(AM$19:AM$68,_xlpm.rad),IFERROR(IF(AND(_xlpm.typ="H",_xlpm.kod&lt;&gt;""),UPPER(_xlpm.kod),GU$18),GU$18))</f>
        <v>30</v>
      </c>
    </row>
    <row r="94" spans="5:203" x14ac:dyDescent="0.35">
      <c r="G94" s="116"/>
      <c r="H94" s="117"/>
      <c r="I94" s="119" t="s">
        <v>1366</v>
      </c>
      <c r="J94" s="12" t="s">
        <v>1367</v>
      </c>
      <c r="EO94" s="88"/>
      <c r="EP94" s="88"/>
      <c r="EQ94" s="88"/>
      <c r="ER94" s="88"/>
      <c r="ES94" s="88"/>
      <c r="ET94" s="88"/>
      <c r="EU94" s="88"/>
      <c r="EV94" s="88"/>
      <c r="EW94" s="88"/>
      <c r="EX94" s="88"/>
      <c r="EY94" s="88"/>
      <c r="EZ94" s="88"/>
      <c r="FA94" s="88"/>
      <c r="FB94" s="88"/>
      <c r="FC94" s="88"/>
      <c r="FD94" s="88"/>
      <c r="FE94" s="88"/>
      <c r="FF94" s="88"/>
      <c r="FG94" s="88"/>
      <c r="FH94" s="88"/>
      <c r="FI94" s="88"/>
      <c r="FJ94" s="88"/>
      <c r="FK94" s="88"/>
      <c r="FL94" s="88"/>
      <c r="FM94" s="88"/>
      <c r="FN94" s="88"/>
      <c r="FR94" s="88" cm="1">
        <f t="array" ref="FR94">_xlfn.LET(_xlpm.rad,$FO93+1,_xlpm.typ,INDEX($E$20:$E$68,_xlpm.rad),_xlpm.kod,INDEX(J$19:J$68,_xlpm.rad),_xlpm.del,INDEX($F$19:$F$68,_xlpm.rad),IFERROR(IF(AND(_xlpm.typ="H",_xlpm.kod&lt;&gt;"",_xlpm.del&lt;&gt;"Hybrid - Thrust + 2 connections"),INDEX(Hyb_Tech,MATCH(_xlpm.kod,Hyb_Code,0)),FR$72),FR$72))</f>
        <v>1</v>
      </c>
      <c r="FS94" s="88" cm="1">
        <f t="array" ref="FS94">_xlfn.LET(_xlpm.rad,$FO93+1,_xlpm.typ,INDEX($E$20:$E$68,_xlpm.rad),_xlpm.kod,INDEX(K$19:K$68,_xlpm.rad),_xlpm.del,INDEX($F$19:$F$68,_xlpm.rad),IFERROR(IF(AND(_xlpm.typ="H",_xlpm.kod&lt;&gt;"",_xlpm.del&lt;&gt;"Hybrid - Thrust + 2 connections"),INDEX(Hyb_Tech,MATCH(_xlpm.kod,Hyb_Code,0)),FS$72),FS$72))</f>
        <v>2</v>
      </c>
      <c r="FT94" s="88" cm="1">
        <f t="array" ref="FT94">_xlfn.LET(_xlpm.rad,$FO93+1,_xlpm.typ,INDEX($E$20:$E$68,_xlpm.rad),_xlpm.kod,INDEX(L$19:L$68,_xlpm.rad),_xlpm.del,INDEX($F$19:$F$68,_xlpm.rad),IFERROR(IF(AND(_xlpm.typ="H",_xlpm.kod&lt;&gt;"",_xlpm.del&lt;&gt;"Hybrid - Thrust + 2 connections"),INDEX(Hyb_Tech,MATCH(_xlpm.kod,Hyb_Code,0)),FT$72),FT$72))</f>
        <v>3</v>
      </c>
      <c r="FU94" s="88" cm="1">
        <f t="array" ref="FU94">_xlfn.LET(_xlpm.rad,$FO93+1,_xlpm.typ,INDEX($E$20:$E$68,_xlpm.rad),_xlpm.kod,INDEX(M$19:M$68,_xlpm.rad),_xlpm.del,INDEX($F$19:$F$68,_xlpm.rad),IFERROR(IF(AND(_xlpm.typ="H",_xlpm.kod&lt;&gt;"",_xlpm.del&lt;&gt;"Hybrid - Thrust + 2 connections"),INDEX(Hyb_Tech,MATCH(_xlpm.kod,Hyb_Code,0)),FU$72),FU$72))</f>
        <v>4</v>
      </c>
      <c r="FV94" s="88" cm="1">
        <f t="array" ref="FV94">_xlfn.LET(_xlpm.rad,$FO93+1,_xlpm.typ,INDEX($E$20:$E$68,_xlpm.rad),_xlpm.kod,INDEX(N$19:N$68,_xlpm.rad),_xlpm.del,INDEX($F$19:$F$68,_xlpm.rad),IFERROR(IF(AND(_xlpm.typ="H",_xlpm.kod&lt;&gt;"",_xlpm.del&lt;&gt;"Hybrid - Thrust + 2 connections"),INDEX(Hyb_Tech,MATCH(_xlpm.kod,Hyb_Code,0)),FV$72),FV$72))</f>
        <v>5</v>
      </c>
      <c r="FW94" s="88" cm="1">
        <f t="array" ref="FW94">_xlfn.LET(_xlpm.rad,$FO93+1,_xlpm.typ,INDEX($E$20:$E$68,_xlpm.rad),_xlpm.kod,INDEX(O$19:O$68,_xlpm.rad),_xlpm.del,INDEX($F$19:$F$68,_xlpm.rad),IFERROR(IF(AND(_xlpm.typ="H",_xlpm.kod&lt;&gt;"",_xlpm.del&lt;&gt;"Hybrid - Thrust + 2 connections"),INDEX(Hyb_Tech,MATCH(_xlpm.kod,Hyb_Code,0)),FW$72),FW$72))</f>
        <v>6</v>
      </c>
      <c r="FX94" s="88" cm="1">
        <f t="array" ref="FX94">_xlfn.LET(_xlpm.rad,$FO93+1,_xlpm.typ,INDEX($E$20:$E$68,_xlpm.rad),_xlpm.kod,INDEX(P$19:P$68,_xlpm.rad),_xlpm.del,INDEX($F$19:$F$68,_xlpm.rad),IFERROR(IF(AND(_xlpm.typ="H",_xlpm.kod&lt;&gt;"",_xlpm.del&lt;&gt;"Hybrid - Thrust + 2 connections"),INDEX(Hyb_Tech,MATCH(_xlpm.kod,Hyb_Code,0)),FX$72),FX$72))</f>
        <v>7</v>
      </c>
      <c r="FY94" s="88" cm="1">
        <f t="array" ref="FY94">_xlfn.LET(_xlpm.rad,$FO93+1,_xlpm.typ,INDEX($E$20:$E$68,_xlpm.rad),_xlpm.kod,INDEX(Q$19:Q$68,_xlpm.rad),_xlpm.del,INDEX($F$19:$F$68,_xlpm.rad),IFERROR(IF(AND(_xlpm.typ="H",_xlpm.kod&lt;&gt;"",_xlpm.del&lt;&gt;"Hybrid - Thrust + 2 connections"),INDEX(Hyb_Tech,MATCH(_xlpm.kod,Hyb_Code,0)),FY$72),FY$72))</f>
        <v>8</v>
      </c>
      <c r="FZ94" s="88" cm="1">
        <f t="array" ref="FZ94">_xlfn.LET(_xlpm.rad,$FO93+1,_xlpm.typ,INDEX($E$20:$E$68,_xlpm.rad),_xlpm.kod,INDEX(R$19:R$68,_xlpm.rad),_xlpm.del,INDEX($F$19:$F$68,_xlpm.rad),IFERROR(IF(AND(_xlpm.typ="H",_xlpm.kod&lt;&gt;"",_xlpm.del&lt;&gt;"Hybrid - Thrust + 2 connections"),INDEX(Hyb_Tech,MATCH(_xlpm.kod,Hyb_Code,0)),FZ$72),FZ$72))</f>
        <v>9</v>
      </c>
      <c r="GA94" s="88" cm="1">
        <f t="array" ref="GA94">_xlfn.LET(_xlpm.rad,$FO93+1,_xlpm.typ,INDEX($E$20:$E$68,_xlpm.rad),_xlpm.kod,INDEX(S$19:S$68,_xlpm.rad),_xlpm.del,INDEX($F$19:$F$68,_xlpm.rad),IFERROR(IF(AND(_xlpm.typ="H",_xlpm.kod&lt;&gt;"",_xlpm.del&lt;&gt;"Hybrid - Thrust + 2 connections"),INDEX(Hyb_Tech,MATCH(_xlpm.kod,Hyb_Code,0)),GA$72),GA$72))</f>
        <v>10</v>
      </c>
      <c r="GB94" s="88" cm="1">
        <f t="array" ref="GB94">_xlfn.LET(_xlpm.rad,$FO93+1,_xlpm.typ,INDEX($E$20:$E$68,_xlpm.rad),_xlpm.kod,INDEX(T$19:T$68,_xlpm.rad),_xlpm.del,INDEX($F$19:$F$68,_xlpm.rad),IFERROR(IF(AND(_xlpm.typ="H",_xlpm.kod&lt;&gt;"",_xlpm.del&lt;&gt;"Hybrid - Thrust + 2 connections"),INDEX(Hyb_Tech,MATCH(_xlpm.kod,Hyb_Code,0)),GB$72),GB$72))</f>
        <v>11</v>
      </c>
      <c r="GC94" s="88" cm="1">
        <f t="array" ref="GC94">_xlfn.LET(_xlpm.rad,$FO93+1,_xlpm.typ,INDEX($E$20:$E$68,_xlpm.rad),_xlpm.kod,INDEX(U$19:U$68,_xlpm.rad),_xlpm.del,INDEX($F$19:$F$68,_xlpm.rad),IFERROR(IF(AND(_xlpm.typ="H",_xlpm.kod&lt;&gt;"",_xlpm.del&lt;&gt;"Hybrid - Thrust + 2 connections"),INDEX(Hyb_Tech,MATCH(_xlpm.kod,Hyb_Code,0)),GC$72),GC$72))</f>
        <v>12</v>
      </c>
      <c r="GD94" s="88" cm="1">
        <f t="array" ref="GD94">_xlfn.LET(_xlpm.rad,$FO93+1,_xlpm.typ,INDEX($E$20:$E$68,_xlpm.rad),_xlpm.kod,INDEX(V$19:V$68,_xlpm.rad),_xlpm.del,INDEX($F$19:$F$68,_xlpm.rad),IFERROR(IF(AND(_xlpm.typ="H",_xlpm.kod&lt;&gt;"",_xlpm.del&lt;&gt;"Hybrid - Thrust + 2 connections"),INDEX(Hyb_Tech,MATCH(_xlpm.kod,Hyb_Code,0)),GD$72),GD$72))</f>
        <v>13</v>
      </c>
      <c r="GE94" s="88" cm="1">
        <f t="array" ref="GE94">_xlfn.LET(_xlpm.rad,$FO93+1,_xlpm.typ,INDEX($E$20:$E$68,_xlpm.rad),_xlpm.kod,INDEX(W$19:W$68,_xlpm.rad),_xlpm.del,INDEX($F$19:$F$68,_xlpm.rad),IFERROR(IF(AND(_xlpm.typ="H",_xlpm.kod&lt;&gt;"",_xlpm.del&lt;&gt;"Hybrid - Thrust + 2 connections"),INDEX(Hyb_Tech,MATCH(_xlpm.kod,Hyb_Code,0)),GE$72),GE$72))</f>
        <v>14</v>
      </c>
      <c r="GF94" s="88" cm="1">
        <f t="array" ref="GF94">_xlfn.LET(_xlpm.rad,$FO93+1,_xlpm.typ,INDEX($E$20:$E$68,_xlpm.rad),_xlpm.kod,INDEX(X$19:X$68,_xlpm.rad),_xlpm.del,INDEX($F$19:$F$68,_xlpm.rad),IFERROR(IF(AND(_xlpm.typ="H",_xlpm.kod&lt;&gt;"",_xlpm.del&lt;&gt;"Hybrid - Thrust + 2 connections"),INDEX(Hyb_Tech,MATCH(_xlpm.kod,Hyb_Code,0)),GF$72),GF$72))</f>
        <v>15</v>
      </c>
      <c r="GG94" s="88" cm="1">
        <f t="array" ref="GG94">_xlfn.LET(_xlpm.rad,$FO93+1,_xlpm.typ,INDEX($E$20:$E$68,_xlpm.rad),_xlpm.kod,INDEX(Y$19:Y$68,_xlpm.rad),_xlpm.del,INDEX($F$19:$F$68,_xlpm.rad),IFERROR(IF(AND(_xlpm.typ="H",_xlpm.kod&lt;&gt;"",_xlpm.del&lt;&gt;"Hybrid - Thrust + 2 connections"),INDEX(Hyb_Tech,MATCH(_xlpm.kod,Hyb_Code,0)),GG$72),GG$72))</f>
        <v>16</v>
      </c>
      <c r="GH94" s="88" cm="1">
        <f t="array" ref="GH94">_xlfn.LET(_xlpm.rad,$FO93+1,_xlpm.typ,INDEX($E$20:$E$68,_xlpm.rad),_xlpm.kod,INDEX(Z$19:Z$68,_xlpm.rad),_xlpm.del,INDEX($F$19:$F$68,_xlpm.rad),IFERROR(IF(AND(_xlpm.typ="H",_xlpm.kod&lt;&gt;"",_xlpm.del&lt;&gt;"Hybrid - Thrust + 2 connections"),INDEX(Hyb_Tech,MATCH(_xlpm.kod,Hyb_Code,0)),GH$72),GH$72))</f>
        <v>17</v>
      </c>
      <c r="GI94" s="88" cm="1">
        <f t="array" ref="GI94">_xlfn.LET(_xlpm.rad,$FO93+1,_xlpm.typ,INDEX($E$20:$E$68,_xlpm.rad),_xlpm.kod,INDEX(AA$19:AA$68,_xlpm.rad),_xlpm.del,INDEX($F$19:$F$68,_xlpm.rad),IFERROR(IF(AND(_xlpm.typ="H",_xlpm.kod&lt;&gt;"",_xlpm.del&lt;&gt;"Hybrid - Thrust + 2 connections"),INDEX(Hyb_Tech,MATCH(_xlpm.kod,Hyb_Code,0)),GI$72),GI$72))</f>
        <v>18</v>
      </c>
      <c r="GJ94" s="88" cm="1">
        <f t="array" ref="GJ94">_xlfn.LET(_xlpm.rad,$FO93+1,_xlpm.typ,INDEX($E$20:$E$68,_xlpm.rad),_xlpm.kod,INDEX(AB$19:AB$68,_xlpm.rad),_xlpm.del,INDEX($F$19:$F$68,_xlpm.rad),IFERROR(IF(AND(_xlpm.typ="H",_xlpm.kod&lt;&gt;"",_xlpm.del&lt;&gt;"Hybrid - Thrust + 2 connections"),INDEX(Hyb_Tech,MATCH(_xlpm.kod,Hyb_Code,0)),GJ$72),GJ$72))</f>
        <v>19</v>
      </c>
      <c r="GK94" s="88" cm="1">
        <f t="array" ref="GK94">_xlfn.LET(_xlpm.rad,$FO93+1,_xlpm.typ,INDEX($E$20:$E$68,_xlpm.rad),_xlpm.kod,INDEX(AC$19:AC$68,_xlpm.rad),_xlpm.del,INDEX($F$19:$F$68,_xlpm.rad),IFERROR(IF(AND(_xlpm.typ="H",_xlpm.kod&lt;&gt;"",_xlpm.del&lt;&gt;"Hybrid - Thrust + 2 connections"),INDEX(Hyb_Tech,MATCH(_xlpm.kod,Hyb_Code,0)),GK$72),GK$72))</f>
        <v>20</v>
      </c>
      <c r="GL94" s="88" cm="1">
        <f t="array" ref="GL94">_xlfn.LET(_xlpm.rad,$FO93+1,_xlpm.typ,INDEX($E$20:$E$68,_xlpm.rad),_xlpm.kod,INDEX(AD$19:AD$68,_xlpm.rad),_xlpm.del,INDEX($F$19:$F$68,_xlpm.rad),IFERROR(IF(AND(_xlpm.typ="H",_xlpm.kod&lt;&gt;"",_xlpm.del&lt;&gt;"Hybrid - Thrust + 2 connections"),INDEX(Hyb_Tech,MATCH(_xlpm.kod,Hyb_Code,0)),GL$72),GL$72))</f>
        <v>21</v>
      </c>
      <c r="GM94" s="88" cm="1">
        <f t="array" ref="GM94">_xlfn.LET(_xlpm.rad,$FO93+1,_xlpm.typ,INDEX($E$20:$E$68,_xlpm.rad),_xlpm.kod,INDEX(AE$19:AE$68,_xlpm.rad),_xlpm.del,INDEX($F$19:$F$68,_xlpm.rad),IFERROR(IF(AND(_xlpm.typ="H",_xlpm.kod&lt;&gt;"",_xlpm.del&lt;&gt;"Hybrid - Thrust + 2 connections"),INDEX(Hyb_Tech,MATCH(_xlpm.kod,Hyb_Code,0)),GM$72),GM$72))</f>
        <v>22</v>
      </c>
      <c r="GN94" s="88" cm="1">
        <f t="array" ref="GN94">_xlfn.LET(_xlpm.rad,$FO93+1,_xlpm.typ,INDEX($E$20:$E$68,_xlpm.rad),_xlpm.kod,INDEX(AF$19:AF$68,_xlpm.rad),_xlpm.del,INDEX($F$19:$F$68,_xlpm.rad),IFERROR(IF(AND(_xlpm.typ="H",_xlpm.kod&lt;&gt;"",_xlpm.del&lt;&gt;"Hybrid - Thrust + 2 connections"),INDEX(Hyb_Tech,MATCH(_xlpm.kod,Hyb_Code,0)),GN$72),GN$72))</f>
        <v>23</v>
      </c>
      <c r="GO94" s="88" cm="1">
        <f t="array" ref="GO94">_xlfn.LET(_xlpm.rad,$FO93+1,_xlpm.typ,INDEX($E$20:$E$68,_xlpm.rad),_xlpm.kod,INDEX(AG$19:AG$68,_xlpm.rad),_xlpm.del,INDEX($F$19:$F$68,_xlpm.rad),IFERROR(IF(AND(_xlpm.typ="H",_xlpm.kod&lt;&gt;"",_xlpm.del&lt;&gt;"Hybrid - Thrust + 2 connections"),INDEX(Hyb_Tech,MATCH(_xlpm.kod,Hyb_Code,0)),GO$72),GO$72))</f>
        <v>24</v>
      </c>
      <c r="GP94" s="88" cm="1">
        <f t="array" ref="GP94">_xlfn.LET(_xlpm.rad,$FO93+1,_xlpm.typ,INDEX($E$20:$E$68,_xlpm.rad),_xlpm.kod,INDEX(AH$19:AH$68,_xlpm.rad),_xlpm.del,INDEX($F$19:$F$68,_xlpm.rad),IFERROR(IF(AND(_xlpm.typ="H",_xlpm.kod&lt;&gt;"",_xlpm.del&lt;&gt;"Hybrid - Thrust + 2 connections"),INDEX(Hyb_Tech,MATCH(_xlpm.kod,Hyb_Code,0)),GP$72),GP$72))</f>
        <v>25</v>
      </c>
      <c r="GQ94" s="88" cm="1">
        <f t="array" ref="GQ94">_xlfn.LET(_xlpm.rad,$FO93+1,_xlpm.typ,INDEX($E$20:$E$68,_xlpm.rad),_xlpm.kod,INDEX(AI$19:AI$68,_xlpm.rad),_xlpm.del,INDEX($F$19:$F$68,_xlpm.rad),IFERROR(IF(AND(_xlpm.typ="H",_xlpm.kod&lt;&gt;"",_xlpm.del&lt;&gt;"Hybrid - Thrust + 2 connections"),INDEX(Hyb_Tech,MATCH(_xlpm.kod,Hyb_Code,0)),GQ$72),GQ$72))</f>
        <v>26</v>
      </c>
      <c r="GR94" s="88" cm="1">
        <f t="array" ref="GR94">_xlfn.LET(_xlpm.rad,$FO93+1,_xlpm.typ,INDEX($E$20:$E$68,_xlpm.rad),_xlpm.kod,INDEX(AJ$19:AJ$68,_xlpm.rad),_xlpm.del,INDEX($F$19:$F$68,_xlpm.rad),IFERROR(IF(AND(_xlpm.typ="H",_xlpm.kod&lt;&gt;"",_xlpm.del&lt;&gt;"Hybrid - Thrust + 2 connections"),INDEX(Hyb_Tech,MATCH(_xlpm.kod,Hyb_Code,0)),GR$72),GR$72))</f>
        <v>27</v>
      </c>
      <c r="GS94" s="88" cm="1">
        <f t="array" ref="GS94">_xlfn.LET(_xlpm.rad,$FO93+1,_xlpm.typ,INDEX($E$20:$E$68,_xlpm.rad),_xlpm.kod,INDEX(AK$19:AK$68,_xlpm.rad),_xlpm.del,INDEX($F$19:$F$68,_xlpm.rad),IFERROR(IF(AND(_xlpm.typ="H",_xlpm.kod&lt;&gt;"",_xlpm.del&lt;&gt;"Hybrid - Thrust + 2 connections"),INDEX(Hyb_Tech,MATCH(_xlpm.kod,Hyb_Code,0)),GS$72),GS$72))</f>
        <v>28</v>
      </c>
      <c r="GT94" s="88" cm="1">
        <f t="array" ref="GT94">_xlfn.LET(_xlpm.rad,$FO93+1,_xlpm.typ,INDEX($E$20:$E$68,_xlpm.rad),_xlpm.kod,INDEX(AL$19:AL$68,_xlpm.rad),_xlpm.del,INDEX($F$19:$F$68,_xlpm.rad),IFERROR(IF(AND(_xlpm.typ="H",_xlpm.kod&lt;&gt;"",_xlpm.del&lt;&gt;"Hybrid - Thrust + 2 connections"),INDEX(Hyb_Tech,MATCH(_xlpm.kod,Hyb_Code,0)),GT$72),GT$72))</f>
        <v>29</v>
      </c>
      <c r="GU94" s="88" cm="1">
        <f t="array" ref="GU94">_xlfn.LET(_xlpm.rad,$FO93+1,_xlpm.typ,INDEX($E$20:$E$68,_xlpm.rad),_xlpm.kod,INDEX(AM$19:AM$68,_xlpm.rad),_xlpm.del,INDEX($F$19:$F$68,_xlpm.rad),IFERROR(IF(AND(_xlpm.typ="H",_xlpm.kod&lt;&gt;"",_xlpm.del&lt;&gt;"Hybrid - Thrust + 2 connections"),INDEX(Hyb_Tech,MATCH(_xlpm.kod,Hyb_Code,0)),GU$72),GU$72))</f>
        <v>30</v>
      </c>
    </row>
    <row r="95" spans="5:203" x14ac:dyDescent="0.35">
      <c r="G95" s="116"/>
      <c r="H95" s="117"/>
      <c r="I95" s="119" t="s">
        <v>1370</v>
      </c>
      <c r="J95" s="12" t="s">
        <v>1371</v>
      </c>
      <c r="EG95" s="88">
        <f t="shared" ref="EG95" si="3071">COUNTIF(EK95:FN95,0.3)</f>
        <v>0</v>
      </c>
      <c r="EH95" s="88">
        <f t="shared" ref="EH95" si="3072">COUNTIF(EK95:FN95,0.5)</f>
        <v>0</v>
      </c>
      <c r="EI95" s="88" t="str">
        <f t="shared" ref="EI95" si="3073">IF(AND(T27="",OR(EG95&gt;5,EH95&gt;5)),"X",IF(SUM(EK95:FN95)&gt;5,"X",""))</f>
        <v/>
      </c>
      <c r="EK95" s="88" t="str">
        <f t="shared" ref="EK95" si="3074">IF($T$5="",IF(RIGHT(J41,4)="*0,5",0.5,IF(RIGHT(J41,4)="*0,3",0.3,IF(EK42&lt;&gt;"",1,""))),IF(EK42&lt;&gt;"",IF(OR(RIGHT(J41,4)="*0,5",RIGHT(J41,4)="*0,3"),0.5,1),""))</f>
        <v/>
      </c>
      <c r="EL95" s="88" t="str">
        <f t="shared" ref="EL95" si="3075">IF($T$5="",IF(RIGHT(K41,4)="*0,5",0.5,IF(RIGHT(K41,4)="*0,3",0.3,IF(EL42&lt;&gt;"",1,""))),IF(EL42&lt;&gt;"",IF(OR(RIGHT(K41,4)="*0,5",RIGHT(K41,4)="*0,3"),0.5,1),""))</f>
        <v/>
      </c>
      <c r="EM95" s="88" t="str">
        <f t="shared" ref="EM95" si="3076">IF($T$5="",IF(RIGHT(L41,4)="*0,5",0.5,IF(RIGHT(L41,4)="*0,3",0.3,IF(EM42&lt;&gt;"",1,""))),IF(EM42&lt;&gt;"",IF(OR(RIGHT(L41,4)="*0,5",RIGHT(L41,4)="*0,3"),0.5,1),""))</f>
        <v/>
      </c>
      <c r="EN95" s="88" t="str">
        <f t="shared" ref="EN95" si="3077">IF($T$5="",IF(RIGHT(M41,4)="*0,5",0.5,IF(RIGHT(M41,4)="*0,3",0.3,IF(EN42&lt;&gt;"",1,""))),IF(EN42&lt;&gt;"",IF(OR(RIGHT(M41,4)="*0,5",RIGHT(M41,4)="*0,3"),0.5,1),""))</f>
        <v/>
      </c>
      <c r="EO95" s="88" t="str">
        <f t="shared" ref="EO95" si="3078">IF($T$5="",IF(RIGHT(N41,4)="*0,5",0.5,IF(RIGHT(N41,4)="*0,3",0.3,IF(EO42&lt;&gt;"",1,""))),IF(EO42&lt;&gt;"",IF(OR(RIGHT(N41,4)="*0,5",RIGHT(N41,4)="*0,3"),0.5,1),""))</f>
        <v/>
      </c>
      <c r="EP95" s="88" t="str">
        <f t="shared" ref="EP95" si="3079">IF($T$5="",IF(RIGHT(O41,4)="*0,5",0.5,IF(RIGHT(O41,4)="*0,3",0.3,IF(EP42&lt;&gt;"",1,""))),IF(EP42&lt;&gt;"",IF(OR(RIGHT(O41,4)="*0,5",RIGHT(O41,4)="*0,3"),0.5,1),""))</f>
        <v/>
      </c>
      <c r="EQ95" s="88" t="str">
        <f t="shared" ref="EQ95" si="3080">IF($T$5="",IF(RIGHT(P41,4)="*0,5",0.5,IF(RIGHT(P41,4)="*0,3",0.3,IF(EQ42&lt;&gt;"",1,""))),IF(EQ42&lt;&gt;"",IF(OR(RIGHT(P41,4)="*0,5",RIGHT(P41,4)="*0,3"),0.5,1),""))</f>
        <v/>
      </c>
      <c r="ER95" s="88" t="str">
        <f t="shared" ref="ER95" si="3081">IF($T$5="",IF(RIGHT(Q41,4)="*0,5",0.5,IF(RIGHT(Q41,4)="*0,3",0.3,IF(ER42&lt;&gt;"",1,""))),IF(ER42&lt;&gt;"",IF(OR(RIGHT(Q41,4)="*0,5",RIGHT(Q41,4)="*0,3"),0.5,1),""))</f>
        <v/>
      </c>
      <c r="ES95" s="88" t="str">
        <f t="shared" ref="ES95" si="3082">IF($T$5="",IF(RIGHT(R41,4)="*0,5",0.5,IF(RIGHT(R41,4)="*0,3",0.3,IF(ES42&lt;&gt;"",1,""))),IF(ES42&lt;&gt;"",IF(OR(RIGHT(R41,4)="*0,5",RIGHT(R41,4)="*0,3"),0.5,1),""))</f>
        <v/>
      </c>
      <c r="ET95" s="88" t="str">
        <f t="shared" ref="ET95" si="3083">IF($T$5="",IF(RIGHT(S41,4)="*0,5",0.5,IF(RIGHT(S41,4)="*0,3",0.3,IF(ET42&lt;&gt;"",1,""))),IF(ET42&lt;&gt;"",IF(OR(RIGHT(S41,4)="*0,5",RIGHT(S41,4)="*0,3"),0.5,1),""))</f>
        <v/>
      </c>
      <c r="EU95" s="88" t="str">
        <f t="shared" ref="EU95" si="3084">IF($T$5="",IF(RIGHT(T41,4)="*0,5",0.5,IF(RIGHT(T41,4)="*0,3",0.3,IF(EU42&lt;&gt;"",1,""))),IF(EU42&lt;&gt;"",IF(OR(RIGHT(T41,4)="*0,5",RIGHT(T41,4)="*0,3"),0.5,1),""))</f>
        <v/>
      </c>
      <c r="EV95" s="88" t="str">
        <f t="shared" ref="EV95" si="3085">IF($T$5="",IF(RIGHT(U41,4)="*0,5",0.5,IF(RIGHT(U41,4)="*0,3",0.3,IF(EV42&lt;&gt;"",1,""))),IF(EV42&lt;&gt;"",IF(OR(RIGHT(U41,4)="*0,5",RIGHT(U41,4)="*0,3"),0.5,1),""))</f>
        <v/>
      </c>
      <c r="EW95" s="88" t="str">
        <f t="shared" ref="EW95" si="3086">IF($T$5="",IF(RIGHT(V41,4)="*0,5",0.5,IF(RIGHT(V41,4)="*0,3",0.3,IF(EW42&lt;&gt;"",1,""))),IF(EW42&lt;&gt;"",IF(OR(RIGHT(V41,4)="*0,5",RIGHT(V41,4)="*0,3"),0.5,1),""))</f>
        <v/>
      </c>
      <c r="EX95" s="88" t="str">
        <f t="shared" ref="EX95" si="3087">IF($T$5="",IF(RIGHT(W41,4)="*0,5",0.5,IF(RIGHT(W41,4)="*0,3",0.3,IF(EX42&lt;&gt;"",1,""))),IF(EX42&lt;&gt;"",IF(OR(RIGHT(W41,4)="*0,5",RIGHT(W41,4)="*0,3"),0.5,1),""))</f>
        <v/>
      </c>
      <c r="EY95" s="88" t="str">
        <f t="shared" ref="EY95" si="3088">IF($T$5="",IF(RIGHT(X41,4)="*0,5",0.5,IF(RIGHT(X41,4)="*0,3",0.3,IF(EY42&lt;&gt;"",1,""))),IF(EY42&lt;&gt;"",IF(OR(RIGHT(X41,4)="*0,5",RIGHT(X41,4)="*0,3"),0.5,1),""))</f>
        <v/>
      </c>
      <c r="EZ95" s="88" t="str">
        <f t="shared" ref="EZ95" si="3089">IF($T$5="",IF(RIGHT(Y41,4)="*0,5",0.5,IF(RIGHT(Y41,4)="*0,3",0.3,IF(EZ42&lt;&gt;"",1,""))),IF(EZ42&lt;&gt;"",IF(OR(RIGHT(Y41,4)="*0,5",RIGHT(Y41,4)="*0,3"),0.5,1),""))</f>
        <v/>
      </c>
      <c r="FA95" s="88" t="str">
        <f t="shared" ref="FA95" si="3090">IF($T$5="",IF(RIGHT(Z41,4)="*0,5",0.5,IF(RIGHT(Z41,4)="*0,3",0.3,IF(FA42&lt;&gt;"",1,""))),IF(FA42&lt;&gt;"",IF(OR(RIGHT(Z41,4)="*0,5",RIGHT(Z41,4)="*0,3"),0.5,1),""))</f>
        <v/>
      </c>
      <c r="FB95" s="88" t="str">
        <f t="shared" ref="FB95" si="3091">IF($T$5="",IF(RIGHT(AA41,4)="*0,5",0.5,IF(RIGHT(AA41,4)="*0,3",0.3,IF(FB42&lt;&gt;"",1,""))),IF(FB42&lt;&gt;"",IF(OR(RIGHT(AA41,4)="*0,5",RIGHT(AA41,4)="*0,3"),0.5,1),""))</f>
        <v/>
      </c>
      <c r="FC95" s="88" t="str">
        <f t="shared" ref="FC95" si="3092">IF($T$5="",IF(RIGHT(AB41,4)="*0,5",0.5,IF(RIGHT(AB41,4)="*0,3",0.3,IF(FC42&lt;&gt;"",1,""))),IF(FC42&lt;&gt;"",IF(OR(RIGHT(AB41,4)="*0,5",RIGHT(AB41,4)="*0,3"),0.5,1),""))</f>
        <v/>
      </c>
      <c r="FD95" s="88" t="str">
        <f t="shared" ref="FD95" si="3093">IF($T$5="",IF(RIGHT(AC41,4)="*0,5",0.5,IF(RIGHT(AC41,4)="*0,3",0.3,IF(FD42&lt;&gt;"",1,""))),IF(FD42&lt;&gt;"",IF(OR(RIGHT(AC41,4)="*0,5",RIGHT(AC41,4)="*0,3"),0.5,1),""))</f>
        <v/>
      </c>
      <c r="FE95" s="88" t="str">
        <f t="shared" ref="FE95" si="3094">IF($T$5="",IF(RIGHT(AD41,4)="*0,5",0.5,IF(RIGHT(AD41,4)="*0,3",0.3,IF(FE42&lt;&gt;"",1,""))),IF(FE42&lt;&gt;"",IF(OR(RIGHT(AD41,4)="*0,5",RIGHT(AD41,4)="*0,3"),0.5,1),""))</f>
        <v/>
      </c>
      <c r="FF95" s="88" t="str">
        <f t="shared" ref="FF95" si="3095">IF($T$5="",IF(RIGHT(AE41,4)="*0,5",0.5,IF(RIGHT(AE41,4)="*0,3",0.3,IF(FF42&lt;&gt;"",1,""))),IF(FF42&lt;&gt;"",IF(OR(RIGHT(AE41,4)="*0,5",RIGHT(AE41,4)="*0,3"),0.5,1),""))</f>
        <v/>
      </c>
      <c r="FG95" s="88" t="str">
        <f t="shared" ref="FG95" si="3096">IF($T$5="",IF(RIGHT(AF41,4)="*0,5",0.5,IF(RIGHT(AF41,4)="*0,3",0.3,IF(FG42&lt;&gt;"",1,""))),IF(FG42&lt;&gt;"",IF(OR(RIGHT(AF41,4)="*0,5",RIGHT(AF41,4)="*0,3"),0.5,1),""))</f>
        <v/>
      </c>
      <c r="FH95" s="88" t="str">
        <f t="shared" ref="FH95" si="3097">IF($T$5="",IF(RIGHT(AG41,4)="*0,5",0.5,IF(RIGHT(AG41,4)="*0,3",0.3,IF(FH42&lt;&gt;"",1,""))),IF(FH42&lt;&gt;"",IF(OR(RIGHT(AG41,4)="*0,5",RIGHT(AG41,4)="*0,3"),0.5,1),""))</f>
        <v/>
      </c>
      <c r="FI95" s="88" t="str">
        <f t="shared" ref="FI95" si="3098">IF($T$5="",IF(RIGHT(AH41,4)="*0,5",0.5,IF(RIGHT(AH41,4)="*0,3",0.3,IF(FI42&lt;&gt;"",1,""))),IF(FI42&lt;&gt;"",IF(OR(RIGHT(AH41,4)="*0,5",RIGHT(AH41,4)="*0,3"),0.5,1),""))</f>
        <v/>
      </c>
      <c r="FJ95" s="88" t="str">
        <f t="shared" ref="FJ95" si="3099">IF($T$5="",IF(RIGHT(AI41,4)="*0,5",0.5,IF(RIGHT(AI41,4)="*0,3",0.3,IF(FJ42&lt;&gt;"",1,""))),IF(FJ42&lt;&gt;"",IF(OR(RIGHT(AI41,4)="*0,5",RIGHT(AI41,4)="*0,3"),0.5,1),""))</f>
        <v/>
      </c>
      <c r="FK95" s="88" t="str">
        <f t="shared" ref="FK95" si="3100">IF($T$5="",IF(RIGHT(AJ41,4)="*0,5",0.5,IF(RIGHT(AJ41,4)="*0,3",0.3,IF(FK42&lt;&gt;"",1,""))),IF(FK42&lt;&gt;"",IF(OR(RIGHT(AJ41,4)="*0,5",RIGHT(AJ41,4)="*0,3"),0.5,1),""))</f>
        <v/>
      </c>
      <c r="FL95" s="88" t="str">
        <f t="shared" ref="FL95" si="3101">IF($T$5="",IF(RIGHT(AK41,4)="*0,5",0.5,IF(RIGHT(AK41,4)="*0,3",0.3,IF(FL42&lt;&gt;"",1,""))),IF(FL42&lt;&gt;"",IF(OR(RIGHT(AK41,4)="*0,5",RIGHT(AK41,4)="*0,3"),0.5,1),""))</f>
        <v/>
      </c>
      <c r="FM95" s="88" t="str">
        <f t="shared" ref="FM95" si="3102">IF($T$5="",IF(RIGHT(AL41,4)="*0,5",0.5,IF(RIGHT(AL41,4)="*0,3",0.3,IF(FM42&lt;&gt;"",1,""))),IF(FM42&lt;&gt;"",IF(OR(RIGHT(AL41,4)="*0,5",RIGHT(AL41,4)="*0,3"),0.5,1),""))</f>
        <v/>
      </c>
      <c r="FN95" s="88" t="str">
        <f t="shared" ref="FN95" si="3103">IF($T$5="",IF(RIGHT(AM41,4)="*0,5",0.5,IF(RIGHT(AM41,4)="*0,3",0.3,IF(FN42&lt;&gt;"",1,""))),IF(FN42&lt;&gt;"",IF(OR(RIGHT(AM41,4)="*0,5",RIGHT(AM41,4)="*0,3"),0.5,1),""))</f>
        <v/>
      </c>
      <c r="FP95" s="91" t="str" cm="1">
        <f t="array" ref="FP95">IFERROR(IF($T$5="",IF(COUNTIF(FR95:GU95,1)&gt;$FP$18,INDEX($FR$73:$GU$170,$FO93*5/2+1,MATCH(1,FR95:GU95,0)),""),IF(SUM(FR95:GU95)&gt;2,INDEX($FR$73:$GU$170,$FO93*5/2+1,MATCH(1,FR95:GU95,0)),"")),"")</f>
        <v/>
      </c>
      <c r="FQ95" s="88" t="str" cm="1">
        <f t="array" ref="FQ95">IFERROR(IF(LEFT(FP95,1)="C",IF(RIGHT(FP95,1)="+",LEFT(FP95,LEN(FP95)-1),CONCATENATE(FP95,"+")),IF(SUM($FR95:$GU95)&gt;$FP$18,INDEX($FR$73:$GU$170,$FO93*5/2+1,MATCH(0.5,FR95:GU95,0)),"")),"")</f>
        <v/>
      </c>
      <c r="FR95" s="88" t="str">
        <f t="shared" ref="FR95:GU95" si="3104">IF(AND($BV$6="D",LEFT(FR93,1)="C"),IF(COUNTIF($FR94:$GU94,FR94)&gt;$FP$18,INDEX(Hyb_Tech_Value,MATCH(FR93,Hyb_Code,0)),""),IF(COUNTIF($FR94:$GU94,FR94)&gt;$FP$18,INDEX(Hyb_Tech_Value,MATCH(FR93,Hyb_Code,0)),""))</f>
        <v/>
      </c>
      <c r="FS95" s="88" t="str">
        <f t="shared" si="3104"/>
        <v/>
      </c>
      <c r="FT95" s="88" t="str">
        <f t="shared" si="3104"/>
        <v/>
      </c>
      <c r="FU95" s="88" t="str">
        <f t="shared" si="3104"/>
        <v/>
      </c>
      <c r="FV95" s="88" t="str">
        <f t="shared" si="3104"/>
        <v/>
      </c>
      <c r="FW95" s="88" t="str">
        <f t="shared" si="3104"/>
        <v/>
      </c>
      <c r="FX95" s="88" t="str">
        <f t="shared" si="3104"/>
        <v/>
      </c>
      <c r="FY95" s="88" t="str">
        <f t="shared" si="3104"/>
        <v/>
      </c>
      <c r="FZ95" s="88" t="str">
        <f t="shared" si="3104"/>
        <v/>
      </c>
      <c r="GA95" s="88" t="str">
        <f t="shared" si="3104"/>
        <v/>
      </c>
      <c r="GB95" s="88" t="str">
        <f t="shared" si="3104"/>
        <v/>
      </c>
      <c r="GC95" s="88" t="str">
        <f t="shared" si="3104"/>
        <v/>
      </c>
      <c r="GD95" s="88" t="str">
        <f t="shared" si="3104"/>
        <v/>
      </c>
      <c r="GE95" s="88" t="str">
        <f t="shared" si="3104"/>
        <v/>
      </c>
      <c r="GF95" s="88" t="str">
        <f t="shared" si="3104"/>
        <v/>
      </c>
      <c r="GG95" s="88" t="str">
        <f t="shared" si="3104"/>
        <v/>
      </c>
      <c r="GH95" s="88" t="str">
        <f t="shared" si="3104"/>
        <v/>
      </c>
      <c r="GI95" s="88" t="str">
        <f t="shared" si="3104"/>
        <v/>
      </c>
      <c r="GJ95" s="88" t="str">
        <f t="shared" si="3104"/>
        <v/>
      </c>
      <c r="GK95" s="88" t="str">
        <f t="shared" si="3104"/>
        <v/>
      </c>
      <c r="GL95" s="88" t="str">
        <f t="shared" si="3104"/>
        <v/>
      </c>
      <c r="GM95" s="88" t="str">
        <f t="shared" si="3104"/>
        <v/>
      </c>
      <c r="GN95" s="88" t="str">
        <f t="shared" si="3104"/>
        <v/>
      </c>
      <c r="GO95" s="88" t="str">
        <f t="shared" si="3104"/>
        <v/>
      </c>
      <c r="GP95" s="88" t="str">
        <f t="shared" si="3104"/>
        <v/>
      </c>
      <c r="GQ95" s="88" t="str">
        <f t="shared" si="3104"/>
        <v/>
      </c>
      <c r="GR95" s="88" t="str">
        <f t="shared" si="3104"/>
        <v/>
      </c>
      <c r="GS95" s="88" t="str">
        <f t="shared" si="3104"/>
        <v/>
      </c>
      <c r="GT95" s="88" t="str">
        <f t="shared" si="3104"/>
        <v/>
      </c>
      <c r="GU95" s="88" t="str">
        <f t="shared" si="3104"/>
        <v/>
      </c>
    </row>
    <row r="96" spans="5:203" x14ac:dyDescent="0.35">
      <c r="G96" s="116"/>
      <c r="H96" s="117"/>
      <c r="I96" s="119" t="s">
        <v>1372</v>
      </c>
      <c r="J96" s="12" t="s">
        <v>1373</v>
      </c>
      <c r="EO96" s="88"/>
      <c r="EP96" s="88"/>
      <c r="EQ96" s="88"/>
      <c r="ER96" s="88"/>
      <c r="ES96" s="88"/>
      <c r="ET96" s="88"/>
      <c r="EU96" s="88"/>
      <c r="EV96" s="88"/>
      <c r="EW96" s="88"/>
      <c r="EX96" s="88"/>
      <c r="EY96" s="88"/>
      <c r="EZ96" s="88"/>
      <c r="FA96" s="88"/>
      <c r="FB96" s="88"/>
      <c r="FC96" s="88"/>
      <c r="FD96" s="88"/>
      <c r="FE96" s="88"/>
      <c r="FF96" s="88"/>
      <c r="FG96" s="88"/>
      <c r="FH96" s="88"/>
      <c r="FI96" s="88"/>
      <c r="FJ96" s="88"/>
      <c r="FK96" s="88"/>
      <c r="FL96" s="88"/>
      <c r="FM96" s="88"/>
      <c r="FN96" s="88"/>
      <c r="FQ96" s="88"/>
      <c r="FR96" s="88" t="str">
        <f t="shared" ref="FR96:GU96" si="3105">IFERROR(IF(LEFT(FR93,FIND("*",FR93)-1)=LEFT($FQ$73,FIND("*",$FQ$73)-1),0.5,""),"")</f>
        <v/>
      </c>
      <c r="FS96" s="88" t="str">
        <f t="shared" si="3105"/>
        <v/>
      </c>
      <c r="FT96" s="88" t="str">
        <f t="shared" si="3105"/>
        <v/>
      </c>
      <c r="FU96" s="88" t="str">
        <f t="shared" si="3105"/>
        <v/>
      </c>
      <c r="FV96" s="88" t="str">
        <f t="shared" si="3105"/>
        <v/>
      </c>
      <c r="FW96" s="88" t="str">
        <f t="shared" si="3105"/>
        <v/>
      </c>
      <c r="FX96" s="88" t="str">
        <f t="shared" si="3105"/>
        <v/>
      </c>
      <c r="FY96" s="88" t="str">
        <f t="shared" si="3105"/>
        <v/>
      </c>
      <c r="FZ96" s="88" t="str">
        <f t="shared" si="3105"/>
        <v/>
      </c>
      <c r="GA96" s="88" t="str">
        <f t="shared" si="3105"/>
        <v/>
      </c>
      <c r="GB96" s="88" t="str">
        <f t="shared" si="3105"/>
        <v/>
      </c>
      <c r="GC96" s="88" t="str">
        <f t="shared" si="3105"/>
        <v/>
      </c>
      <c r="GD96" s="88" t="str">
        <f t="shared" si="3105"/>
        <v/>
      </c>
      <c r="GE96" s="88" t="str">
        <f t="shared" si="3105"/>
        <v/>
      </c>
      <c r="GF96" s="88" t="str">
        <f t="shared" si="3105"/>
        <v/>
      </c>
      <c r="GG96" s="88" t="str">
        <f t="shared" si="3105"/>
        <v/>
      </c>
      <c r="GH96" s="88" t="str">
        <f t="shared" si="3105"/>
        <v/>
      </c>
      <c r="GI96" s="88" t="str">
        <f t="shared" si="3105"/>
        <v/>
      </c>
      <c r="GJ96" s="88" t="str">
        <f t="shared" si="3105"/>
        <v/>
      </c>
      <c r="GK96" s="88" t="str">
        <f t="shared" si="3105"/>
        <v/>
      </c>
      <c r="GL96" s="88" t="str">
        <f t="shared" si="3105"/>
        <v/>
      </c>
      <c r="GM96" s="88" t="str">
        <f t="shared" si="3105"/>
        <v/>
      </c>
      <c r="GN96" s="88" t="str">
        <f t="shared" si="3105"/>
        <v/>
      </c>
      <c r="GO96" s="88" t="str">
        <f t="shared" si="3105"/>
        <v/>
      </c>
      <c r="GP96" s="88" t="str">
        <f t="shared" si="3105"/>
        <v/>
      </c>
      <c r="GQ96" s="88" t="str">
        <f t="shared" si="3105"/>
        <v/>
      </c>
      <c r="GR96" s="88" t="str">
        <f t="shared" si="3105"/>
        <v/>
      </c>
      <c r="GS96" s="88" t="str">
        <f t="shared" si="3105"/>
        <v/>
      </c>
      <c r="GT96" s="88" t="str">
        <f t="shared" si="3105"/>
        <v/>
      </c>
      <c r="GU96" s="88" t="str">
        <f t="shared" si="3105"/>
        <v/>
      </c>
    </row>
    <row r="97" spans="7:203" x14ac:dyDescent="0.35">
      <c r="G97" s="116"/>
      <c r="H97" s="117"/>
      <c r="I97" s="119" t="s">
        <v>1374</v>
      </c>
      <c r="J97" s="12" t="s">
        <v>1375</v>
      </c>
      <c r="EG97" s="88">
        <f t="shared" ref="EG97" si="3106">COUNTIF(EK97:FN97,0.3)</f>
        <v>0</v>
      </c>
      <c r="EH97" s="88">
        <f t="shared" ref="EH97" si="3107">COUNTIF(EK97:FN97,0.5)</f>
        <v>0</v>
      </c>
      <c r="EI97" s="88" t="str">
        <f t="shared" ref="EI97" si="3108">IF(AND(T29="",OR(EG97&gt;5,EH97&gt;5)),"X",IF(SUM(EK97:FN97)&gt;5,"X",""))</f>
        <v/>
      </c>
      <c r="EK97" s="88" t="str">
        <f t="shared" ref="EK97" si="3109">IF($T$5="",IF(RIGHT(J43,4)="*0,5",0.5,IF(RIGHT(J43,4)="*0,3",0.3,IF(EK44&lt;&gt;"",1,""))),IF(EK44&lt;&gt;"",IF(OR(RIGHT(J43,4)="*0,5",RIGHT(J43,4)="*0,3"),0.5,1),""))</f>
        <v/>
      </c>
      <c r="EL97" s="88" t="str">
        <f t="shared" ref="EL97" si="3110">IF($T$5="",IF(RIGHT(K43,4)="*0,5",0.5,IF(RIGHT(K43,4)="*0,3",0.3,IF(EL44&lt;&gt;"",1,""))),IF(EL44&lt;&gt;"",IF(OR(RIGHT(K43,4)="*0,5",RIGHT(K43,4)="*0,3"),0.5,1),""))</f>
        <v/>
      </c>
      <c r="EM97" s="88" t="str">
        <f t="shared" ref="EM97" si="3111">IF($T$5="",IF(RIGHT(L43,4)="*0,5",0.5,IF(RIGHT(L43,4)="*0,3",0.3,IF(EM44&lt;&gt;"",1,""))),IF(EM44&lt;&gt;"",IF(OR(RIGHT(L43,4)="*0,5",RIGHT(L43,4)="*0,3"),0.5,1),""))</f>
        <v/>
      </c>
      <c r="EN97" s="88" t="str">
        <f t="shared" ref="EN97" si="3112">IF($T$5="",IF(RIGHT(M43,4)="*0,5",0.5,IF(RIGHT(M43,4)="*0,3",0.3,IF(EN44&lt;&gt;"",1,""))),IF(EN44&lt;&gt;"",IF(OR(RIGHT(M43,4)="*0,5",RIGHT(M43,4)="*0,3"),0.5,1),""))</f>
        <v/>
      </c>
      <c r="EO97" s="88" t="str">
        <f t="shared" ref="EO97" si="3113">IF($T$5="",IF(RIGHT(N43,4)="*0,5",0.5,IF(RIGHT(N43,4)="*0,3",0.3,IF(EO44&lt;&gt;"",1,""))),IF(EO44&lt;&gt;"",IF(OR(RIGHT(N43,4)="*0,5",RIGHT(N43,4)="*0,3"),0.5,1),""))</f>
        <v/>
      </c>
      <c r="EP97" s="88" t="str">
        <f t="shared" ref="EP97" si="3114">IF($T$5="",IF(RIGHT(O43,4)="*0,5",0.5,IF(RIGHT(O43,4)="*0,3",0.3,IF(EP44&lt;&gt;"",1,""))),IF(EP44&lt;&gt;"",IF(OR(RIGHT(O43,4)="*0,5",RIGHT(O43,4)="*0,3"),0.5,1),""))</f>
        <v/>
      </c>
      <c r="EQ97" s="88" t="str">
        <f t="shared" ref="EQ97" si="3115">IF($T$5="",IF(RIGHT(P43,4)="*0,5",0.5,IF(RIGHT(P43,4)="*0,3",0.3,IF(EQ44&lt;&gt;"",1,""))),IF(EQ44&lt;&gt;"",IF(OR(RIGHT(P43,4)="*0,5",RIGHT(P43,4)="*0,3"),0.5,1),""))</f>
        <v/>
      </c>
      <c r="ER97" s="88" t="str">
        <f t="shared" ref="ER97" si="3116">IF($T$5="",IF(RIGHT(Q43,4)="*0,5",0.5,IF(RIGHT(Q43,4)="*0,3",0.3,IF(ER44&lt;&gt;"",1,""))),IF(ER44&lt;&gt;"",IF(OR(RIGHT(Q43,4)="*0,5",RIGHT(Q43,4)="*0,3"),0.5,1),""))</f>
        <v/>
      </c>
      <c r="ES97" s="88" t="str">
        <f t="shared" ref="ES97" si="3117">IF($T$5="",IF(RIGHT(R43,4)="*0,5",0.5,IF(RIGHT(R43,4)="*0,3",0.3,IF(ES44&lt;&gt;"",1,""))),IF(ES44&lt;&gt;"",IF(OR(RIGHT(R43,4)="*0,5",RIGHT(R43,4)="*0,3"),0.5,1),""))</f>
        <v/>
      </c>
      <c r="ET97" s="88" t="str">
        <f t="shared" ref="ET97" si="3118">IF($T$5="",IF(RIGHT(S43,4)="*0,5",0.5,IF(RIGHT(S43,4)="*0,3",0.3,IF(ET44&lt;&gt;"",1,""))),IF(ET44&lt;&gt;"",IF(OR(RIGHT(S43,4)="*0,5",RIGHT(S43,4)="*0,3"),0.5,1),""))</f>
        <v/>
      </c>
      <c r="EU97" s="88" t="str">
        <f t="shared" ref="EU97" si="3119">IF($T$5="",IF(RIGHT(T43,4)="*0,5",0.5,IF(RIGHT(T43,4)="*0,3",0.3,IF(EU44&lt;&gt;"",1,""))),IF(EU44&lt;&gt;"",IF(OR(RIGHT(T43,4)="*0,5",RIGHT(T43,4)="*0,3"),0.5,1),""))</f>
        <v/>
      </c>
      <c r="EV97" s="88" t="str">
        <f t="shared" ref="EV97" si="3120">IF($T$5="",IF(RIGHT(U43,4)="*0,5",0.5,IF(RIGHT(U43,4)="*0,3",0.3,IF(EV44&lt;&gt;"",1,""))),IF(EV44&lt;&gt;"",IF(OR(RIGHT(U43,4)="*0,5",RIGHT(U43,4)="*0,3"),0.5,1),""))</f>
        <v/>
      </c>
      <c r="EW97" s="88" t="str">
        <f t="shared" ref="EW97" si="3121">IF($T$5="",IF(RIGHT(V43,4)="*0,5",0.5,IF(RIGHT(V43,4)="*0,3",0.3,IF(EW44&lt;&gt;"",1,""))),IF(EW44&lt;&gt;"",IF(OR(RIGHT(V43,4)="*0,5",RIGHT(V43,4)="*0,3"),0.5,1),""))</f>
        <v/>
      </c>
      <c r="EX97" s="88" t="str">
        <f t="shared" ref="EX97" si="3122">IF($T$5="",IF(RIGHT(W43,4)="*0,5",0.5,IF(RIGHT(W43,4)="*0,3",0.3,IF(EX44&lt;&gt;"",1,""))),IF(EX44&lt;&gt;"",IF(OR(RIGHT(W43,4)="*0,5",RIGHT(W43,4)="*0,3"),0.5,1),""))</f>
        <v/>
      </c>
      <c r="EY97" s="88" t="str">
        <f t="shared" ref="EY97" si="3123">IF($T$5="",IF(RIGHT(X43,4)="*0,5",0.5,IF(RIGHT(X43,4)="*0,3",0.3,IF(EY44&lt;&gt;"",1,""))),IF(EY44&lt;&gt;"",IF(OR(RIGHT(X43,4)="*0,5",RIGHT(X43,4)="*0,3"),0.5,1),""))</f>
        <v/>
      </c>
      <c r="EZ97" s="88" t="str">
        <f t="shared" ref="EZ97" si="3124">IF($T$5="",IF(RIGHT(Y43,4)="*0,5",0.5,IF(RIGHT(Y43,4)="*0,3",0.3,IF(EZ44&lt;&gt;"",1,""))),IF(EZ44&lt;&gt;"",IF(OR(RIGHT(Y43,4)="*0,5",RIGHT(Y43,4)="*0,3"),0.5,1),""))</f>
        <v/>
      </c>
      <c r="FA97" s="88" t="str">
        <f t="shared" ref="FA97" si="3125">IF($T$5="",IF(RIGHT(Z43,4)="*0,5",0.5,IF(RIGHT(Z43,4)="*0,3",0.3,IF(FA44&lt;&gt;"",1,""))),IF(FA44&lt;&gt;"",IF(OR(RIGHT(Z43,4)="*0,5",RIGHT(Z43,4)="*0,3"),0.5,1),""))</f>
        <v/>
      </c>
      <c r="FB97" s="88" t="str">
        <f t="shared" ref="FB97" si="3126">IF($T$5="",IF(RIGHT(AA43,4)="*0,5",0.5,IF(RIGHT(AA43,4)="*0,3",0.3,IF(FB44&lt;&gt;"",1,""))),IF(FB44&lt;&gt;"",IF(OR(RIGHT(AA43,4)="*0,5",RIGHT(AA43,4)="*0,3"),0.5,1),""))</f>
        <v/>
      </c>
      <c r="FC97" s="88" t="str">
        <f t="shared" ref="FC97" si="3127">IF($T$5="",IF(RIGHT(AB43,4)="*0,5",0.5,IF(RIGHT(AB43,4)="*0,3",0.3,IF(FC44&lt;&gt;"",1,""))),IF(FC44&lt;&gt;"",IF(OR(RIGHT(AB43,4)="*0,5",RIGHT(AB43,4)="*0,3"),0.5,1),""))</f>
        <v/>
      </c>
      <c r="FD97" s="88" t="str">
        <f t="shared" ref="FD97" si="3128">IF($T$5="",IF(RIGHT(AC43,4)="*0,5",0.5,IF(RIGHT(AC43,4)="*0,3",0.3,IF(FD44&lt;&gt;"",1,""))),IF(FD44&lt;&gt;"",IF(OR(RIGHT(AC43,4)="*0,5",RIGHT(AC43,4)="*0,3"),0.5,1),""))</f>
        <v/>
      </c>
      <c r="FE97" s="88" t="str">
        <f t="shared" ref="FE97" si="3129">IF($T$5="",IF(RIGHT(AD43,4)="*0,5",0.5,IF(RIGHT(AD43,4)="*0,3",0.3,IF(FE44&lt;&gt;"",1,""))),IF(FE44&lt;&gt;"",IF(OR(RIGHT(AD43,4)="*0,5",RIGHT(AD43,4)="*0,3"),0.5,1),""))</f>
        <v/>
      </c>
      <c r="FF97" s="88" t="str">
        <f t="shared" ref="FF97" si="3130">IF($T$5="",IF(RIGHT(AE43,4)="*0,5",0.5,IF(RIGHT(AE43,4)="*0,3",0.3,IF(FF44&lt;&gt;"",1,""))),IF(FF44&lt;&gt;"",IF(OR(RIGHT(AE43,4)="*0,5",RIGHT(AE43,4)="*0,3"),0.5,1),""))</f>
        <v/>
      </c>
      <c r="FG97" s="88" t="str">
        <f t="shared" ref="FG97" si="3131">IF($T$5="",IF(RIGHT(AF43,4)="*0,5",0.5,IF(RIGHT(AF43,4)="*0,3",0.3,IF(FG44&lt;&gt;"",1,""))),IF(FG44&lt;&gt;"",IF(OR(RIGHT(AF43,4)="*0,5",RIGHT(AF43,4)="*0,3"),0.5,1),""))</f>
        <v/>
      </c>
      <c r="FH97" s="88" t="str">
        <f t="shared" ref="FH97" si="3132">IF($T$5="",IF(RIGHT(AG43,4)="*0,5",0.5,IF(RIGHT(AG43,4)="*0,3",0.3,IF(FH44&lt;&gt;"",1,""))),IF(FH44&lt;&gt;"",IF(OR(RIGHT(AG43,4)="*0,5",RIGHT(AG43,4)="*0,3"),0.5,1),""))</f>
        <v/>
      </c>
      <c r="FI97" s="88" t="str">
        <f t="shared" ref="FI97" si="3133">IF($T$5="",IF(RIGHT(AH43,4)="*0,5",0.5,IF(RIGHT(AH43,4)="*0,3",0.3,IF(FI44&lt;&gt;"",1,""))),IF(FI44&lt;&gt;"",IF(OR(RIGHT(AH43,4)="*0,5",RIGHT(AH43,4)="*0,3"),0.5,1),""))</f>
        <v/>
      </c>
      <c r="FJ97" s="88" t="str">
        <f t="shared" ref="FJ97" si="3134">IF($T$5="",IF(RIGHT(AI43,4)="*0,5",0.5,IF(RIGHT(AI43,4)="*0,3",0.3,IF(FJ44&lt;&gt;"",1,""))),IF(FJ44&lt;&gt;"",IF(OR(RIGHT(AI43,4)="*0,5",RIGHT(AI43,4)="*0,3"),0.5,1),""))</f>
        <v/>
      </c>
      <c r="FK97" s="88" t="str">
        <f t="shared" ref="FK97" si="3135">IF($T$5="",IF(RIGHT(AJ43,4)="*0,5",0.5,IF(RIGHT(AJ43,4)="*0,3",0.3,IF(FK44&lt;&gt;"",1,""))),IF(FK44&lt;&gt;"",IF(OR(RIGHT(AJ43,4)="*0,5",RIGHT(AJ43,4)="*0,3"),0.5,1),""))</f>
        <v/>
      </c>
      <c r="FL97" s="88" t="str">
        <f t="shared" ref="FL97" si="3136">IF($T$5="",IF(RIGHT(AK43,4)="*0,5",0.5,IF(RIGHT(AK43,4)="*0,3",0.3,IF(FL44&lt;&gt;"",1,""))),IF(FL44&lt;&gt;"",IF(OR(RIGHT(AK43,4)="*0,5",RIGHT(AK43,4)="*0,3"),0.5,1),""))</f>
        <v/>
      </c>
      <c r="FM97" s="88" t="str">
        <f t="shared" ref="FM97" si="3137">IF($T$5="",IF(RIGHT(AL43,4)="*0,5",0.5,IF(RIGHT(AL43,4)="*0,3",0.3,IF(FM44&lt;&gt;"",1,""))),IF(FM44&lt;&gt;"",IF(OR(RIGHT(AL43,4)="*0,5",RIGHT(AL43,4)="*0,3"),0.5,1),""))</f>
        <v/>
      </c>
      <c r="FN97" s="88" t="str">
        <f t="shared" ref="FN97" si="3138">IF($T$5="",IF(RIGHT(AM43,4)="*0,5",0.5,IF(RIGHT(AM43,4)="*0,3",0.3,IF(FN44&lt;&gt;"",1,""))),IF(FN44&lt;&gt;"",IF(OR(RIGHT(AM43,4)="*0,5",RIGHT(AM43,4)="*0,3"),0.5,1),""))</f>
        <v/>
      </c>
      <c r="FQ97" s="88"/>
      <c r="FR97" s="88"/>
      <c r="FS97" s="88"/>
      <c r="FT97" s="88"/>
      <c r="FU97" s="88"/>
      <c r="FV97" s="88"/>
      <c r="FW97" s="88"/>
      <c r="FX97" s="88"/>
      <c r="FY97" s="88"/>
      <c r="FZ97" s="88"/>
      <c r="GA97" s="88"/>
      <c r="GB97" s="88"/>
      <c r="GC97" s="88"/>
      <c r="GD97" s="88"/>
      <c r="GE97" s="88"/>
      <c r="GF97" s="88"/>
      <c r="GG97" s="88"/>
      <c r="GH97" s="88"/>
      <c r="GI97" s="88"/>
      <c r="GJ97" s="88"/>
      <c r="GK97" s="88"/>
      <c r="GL97" s="88"/>
      <c r="GM97" s="88"/>
      <c r="GN97" s="88"/>
      <c r="GO97" s="88"/>
      <c r="GP97" s="88"/>
      <c r="GQ97" s="88"/>
      <c r="GR97" s="88"/>
      <c r="GS97" s="88"/>
      <c r="GT97" s="88"/>
      <c r="GU97" s="88"/>
    </row>
    <row r="98" spans="7:203" x14ac:dyDescent="0.35">
      <c r="G98" s="116"/>
      <c r="H98" s="117"/>
      <c r="I98" s="119" t="s">
        <v>1377</v>
      </c>
      <c r="J98" s="12" t="s">
        <v>1378</v>
      </c>
      <c r="EO98" s="88"/>
      <c r="EP98" s="88"/>
      <c r="EQ98" s="88"/>
      <c r="ER98" s="88"/>
      <c r="ES98" s="88"/>
      <c r="ET98" s="88"/>
      <c r="EU98" s="88"/>
      <c r="EV98" s="88"/>
      <c r="EW98" s="88"/>
      <c r="EX98" s="88"/>
      <c r="EY98" s="88"/>
      <c r="EZ98" s="88"/>
      <c r="FA98" s="88"/>
      <c r="FB98" s="88"/>
      <c r="FC98" s="88"/>
      <c r="FD98" s="88"/>
      <c r="FE98" s="88"/>
      <c r="FF98" s="88"/>
      <c r="FG98" s="88"/>
      <c r="FH98" s="88"/>
      <c r="FI98" s="88"/>
      <c r="FJ98" s="88"/>
      <c r="FK98" s="88"/>
      <c r="FL98" s="88"/>
      <c r="FM98" s="88"/>
      <c r="FN98" s="88"/>
      <c r="FO98" s="91">
        <v>10</v>
      </c>
      <c r="FP98" s="88" t="str">
        <f t="shared" ref="FP98" si="3139">IF(SUM(FR101:GU101)&gt;2,FQ98,"")</f>
        <v/>
      </c>
      <c r="FQ98" s="88" t="str" cm="1">
        <f t="array" ref="FQ98">IF(SUM(FR100:GU100)&gt;0,_xlfn.LET(_xlpm.area,FR98:GU98,_xlpm.texts,_xlfn.UNIQUE(_xlfn._xlws.FILTER(_xlpm.area,_xlpm.area&lt;&gt;"")),_xlpm.number,COUNTIF(_xlpm.area,_xlpm.texts),INDEX(_xlpm.texts,MATCH(MAX(_xlpm.number),_xlpm.number,0))),"")</f>
        <v/>
      </c>
      <c r="FR98" s="88" cm="1">
        <f t="array" ref="FR98">_xlfn.LET(_xlpm.rad,$FO98+1,_xlpm.typ,INDEX($E$20:$E$68,_xlpm.rad),_xlpm.kod,INDEX(J$19:J$68,_xlpm.rad),IFERROR(IF(AND(_xlpm.typ="H",_xlpm.kod&lt;&gt;""),UPPER(_xlpm.kod),FR$18),FR$18))</f>
        <v>1</v>
      </c>
      <c r="FS98" s="88" cm="1">
        <f t="array" ref="FS98">_xlfn.LET(_xlpm.rad,$FO98+1,_xlpm.typ,INDEX($E$20:$E$68,_xlpm.rad),_xlpm.kod,INDEX(K$19:K$68,_xlpm.rad),IFERROR(IF(AND(_xlpm.typ="H",_xlpm.kod&lt;&gt;""),UPPER(_xlpm.kod),FS$18),FS$18))</f>
        <v>2</v>
      </c>
      <c r="FT98" s="88" cm="1">
        <f t="array" ref="FT98">_xlfn.LET(_xlpm.rad,$FO98+1,_xlpm.typ,INDEX($E$20:$E$68,_xlpm.rad),_xlpm.kod,INDEX(L$19:L$68,_xlpm.rad),IFERROR(IF(AND(_xlpm.typ="H",_xlpm.kod&lt;&gt;""),UPPER(_xlpm.kod),FT$18),FT$18))</f>
        <v>3</v>
      </c>
      <c r="FU98" s="88" cm="1">
        <f t="array" ref="FU98">_xlfn.LET(_xlpm.rad,$FO98+1,_xlpm.typ,INDEX($E$20:$E$68,_xlpm.rad),_xlpm.kod,INDEX(M$19:M$68,_xlpm.rad),IFERROR(IF(AND(_xlpm.typ="H",_xlpm.kod&lt;&gt;""),UPPER(_xlpm.kod),FU$18),FU$18))</f>
        <v>4</v>
      </c>
      <c r="FV98" s="88" cm="1">
        <f t="array" ref="FV98">_xlfn.LET(_xlpm.rad,$FO98+1,_xlpm.typ,INDEX($E$20:$E$68,_xlpm.rad),_xlpm.kod,INDEX(N$19:N$68,_xlpm.rad),IFERROR(IF(AND(_xlpm.typ="H",_xlpm.kod&lt;&gt;""),UPPER(_xlpm.kod),FV$18),FV$18))</f>
        <v>5</v>
      </c>
      <c r="FW98" s="88" cm="1">
        <f t="array" ref="FW98">_xlfn.LET(_xlpm.rad,$FO98+1,_xlpm.typ,INDEX($E$20:$E$68,_xlpm.rad),_xlpm.kod,INDEX(O$19:O$68,_xlpm.rad),IFERROR(IF(AND(_xlpm.typ="H",_xlpm.kod&lt;&gt;""),UPPER(_xlpm.kod),FW$18),FW$18))</f>
        <v>6</v>
      </c>
      <c r="FX98" s="88" cm="1">
        <f t="array" ref="FX98">_xlfn.LET(_xlpm.rad,$FO98+1,_xlpm.typ,INDEX($E$20:$E$68,_xlpm.rad),_xlpm.kod,INDEX(P$19:P$68,_xlpm.rad),IFERROR(IF(AND(_xlpm.typ="H",_xlpm.kod&lt;&gt;""),UPPER(_xlpm.kod),FX$18),FX$18))</f>
        <v>7</v>
      </c>
      <c r="FY98" s="88" cm="1">
        <f t="array" ref="FY98">_xlfn.LET(_xlpm.rad,$FO98+1,_xlpm.typ,INDEX($E$20:$E$68,_xlpm.rad),_xlpm.kod,INDEX(Q$19:Q$68,_xlpm.rad),IFERROR(IF(AND(_xlpm.typ="H",_xlpm.kod&lt;&gt;""),UPPER(_xlpm.kod),FY$18),FY$18))</f>
        <v>8</v>
      </c>
      <c r="FZ98" s="88" cm="1">
        <f t="array" ref="FZ98">_xlfn.LET(_xlpm.rad,$FO98+1,_xlpm.typ,INDEX($E$20:$E$68,_xlpm.rad),_xlpm.kod,INDEX(R$19:R$68,_xlpm.rad),IFERROR(IF(AND(_xlpm.typ="H",_xlpm.kod&lt;&gt;""),UPPER(_xlpm.kod),FZ$18),FZ$18))</f>
        <v>9</v>
      </c>
      <c r="GA98" s="88" cm="1">
        <f t="array" ref="GA98">_xlfn.LET(_xlpm.rad,$FO98+1,_xlpm.typ,INDEX($E$20:$E$68,_xlpm.rad),_xlpm.kod,INDEX(S$19:S$68,_xlpm.rad),IFERROR(IF(AND(_xlpm.typ="H",_xlpm.kod&lt;&gt;""),UPPER(_xlpm.kod),GA$18),GA$18))</f>
        <v>10</v>
      </c>
      <c r="GB98" s="88" cm="1">
        <f t="array" ref="GB98">_xlfn.LET(_xlpm.rad,$FO98+1,_xlpm.typ,INDEX($E$20:$E$68,_xlpm.rad),_xlpm.kod,INDEX(T$19:T$68,_xlpm.rad),IFERROR(IF(AND(_xlpm.typ="H",_xlpm.kod&lt;&gt;""),UPPER(_xlpm.kod),GB$18),GB$18))</f>
        <v>11</v>
      </c>
      <c r="GC98" s="88" cm="1">
        <f t="array" ref="GC98">_xlfn.LET(_xlpm.rad,$FO98+1,_xlpm.typ,INDEX($E$20:$E$68,_xlpm.rad),_xlpm.kod,INDEX(U$19:U$68,_xlpm.rad),IFERROR(IF(AND(_xlpm.typ="H",_xlpm.kod&lt;&gt;""),UPPER(_xlpm.kod),GC$18),GC$18))</f>
        <v>12</v>
      </c>
      <c r="GD98" s="88" cm="1">
        <f t="array" ref="GD98">_xlfn.LET(_xlpm.rad,$FO98+1,_xlpm.typ,INDEX($E$20:$E$68,_xlpm.rad),_xlpm.kod,INDEX(V$19:V$68,_xlpm.rad),IFERROR(IF(AND(_xlpm.typ="H",_xlpm.kod&lt;&gt;""),UPPER(_xlpm.kod),GD$18),GD$18))</f>
        <v>13</v>
      </c>
      <c r="GE98" s="88" cm="1">
        <f t="array" ref="GE98">_xlfn.LET(_xlpm.rad,$FO98+1,_xlpm.typ,INDEX($E$20:$E$68,_xlpm.rad),_xlpm.kod,INDEX(W$19:W$68,_xlpm.rad),IFERROR(IF(AND(_xlpm.typ="H",_xlpm.kod&lt;&gt;""),UPPER(_xlpm.kod),GE$18),GE$18))</f>
        <v>14</v>
      </c>
      <c r="GF98" s="88" cm="1">
        <f t="array" ref="GF98">_xlfn.LET(_xlpm.rad,$FO98+1,_xlpm.typ,INDEX($E$20:$E$68,_xlpm.rad),_xlpm.kod,INDEX(X$19:X$68,_xlpm.rad),IFERROR(IF(AND(_xlpm.typ="H",_xlpm.kod&lt;&gt;""),UPPER(_xlpm.kod),GF$18),GF$18))</f>
        <v>15</v>
      </c>
      <c r="GG98" s="88" cm="1">
        <f t="array" ref="GG98">_xlfn.LET(_xlpm.rad,$FO98+1,_xlpm.typ,INDEX($E$20:$E$68,_xlpm.rad),_xlpm.kod,INDEX(Y$19:Y$68,_xlpm.rad),IFERROR(IF(AND(_xlpm.typ="H",_xlpm.kod&lt;&gt;""),UPPER(_xlpm.kod),GG$18),GG$18))</f>
        <v>16</v>
      </c>
      <c r="GH98" s="88" cm="1">
        <f t="array" ref="GH98">_xlfn.LET(_xlpm.rad,$FO98+1,_xlpm.typ,INDEX($E$20:$E$68,_xlpm.rad),_xlpm.kod,INDEX(Z$19:Z$68,_xlpm.rad),IFERROR(IF(AND(_xlpm.typ="H",_xlpm.kod&lt;&gt;""),UPPER(_xlpm.kod),GH$18),GH$18))</f>
        <v>17</v>
      </c>
      <c r="GI98" s="88" cm="1">
        <f t="array" ref="GI98">_xlfn.LET(_xlpm.rad,$FO98+1,_xlpm.typ,INDEX($E$20:$E$68,_xlpm.rad),_xlpm.kod,INDEX(AA$19:AA$68,_xlpm.rad),IFERROR(IF(AND(_xlpm.typ="H",_xlpm.kod&lt;&gt;""),UPPER(_xlpm.kod),GI$18),GI$18))</f>
        <v>18</v>
      </c>
      <c r="GJ98" s="88" cm="1">
        <f t="array" ref="GJ98">_xlfn.LET(_xlpm.rad,$FO98+1,_xlpm.typ,INDEX($E$20:$E$68,_xlpm.rad),_xlpm.kod,INDEX(AB$19:AB$68,_xlpm.rad),IFERROR(IF(AND(_xlpm.typ="H",_xlpm.kod&lt;&gt;""),UPPER(_xlpm.kod),GJ$18),GJ$18))</f>
        <v>19</v>
      </c>
      <c r="GK98" s="88" cm="1">
        <f t="array" ref="GK98">_xlfn.LET(_xlpm.rad,$FO98+1,_xlpm.typ,INDEX($E$20:$E$68,_xlpm.rad),_xlpm.kod,INDEX(AC$19:AC$68,_xlpm.rad),IFERROR(IF(AND(_xlpm.typ="H",_xlpm.kod&lt;&gt;""),UPPER(_xlpm.kod),GK$18),GK$18))</f>
        <v>20</v>
      </c>
      <c r="GL98" s="88" cm="1">
        <f t="array" ref="GL98">_xlfn.LET(_xlpm.rad,$FO98+1,_xlpm.typ,INDEX($E$20:$E$68,_xlpm.rad),_xlpm.kod,INDEX(AD$19:AD$68,_xlpm.rad),IFERROR(IF(AND(_xlpm.typ="H",_xlpm.kod&lt;&gt;""),UPPER(_xlpm.kod),GL$18),GL$18))</f>
        <v>21</v>
      </c>
      <c r="GM98" s="88" cm="1">
        <f t="array" ref="GM98">_xlfn.LET(_xlpm.rad,$FO98+1,_xlpm.typ,INDEX($E$20:$E$68,_xlpm.rad),_xlpm.kod,INDEX(AE$19:AE$68,_xlpm.rad),IFERROR(IF(AND(_xlpm.typ="H",_xlpm.kod&lt;&gt;""),UPPER(_xlpm.kod),GM$18),GM$18))</f>
        <v>22</v>
      </c>
      <c r="GN98" s="88" cm="1">
        <f t="array" ref="GN98">_xlfn.LET(_xlpm.rad,$FO98+1,_xlpm.typ,INDEX($E$20:$E$68,_xlpm.rad),_xlpm.kod,INDEX(AF$19:AF$68,_xlpm.rad),IFERROR(IF(AND(_xlpm.typ="H",_xlpm.kod&lt;&gt;""),UPPER(_xlpm.kod),GN$18),GN$18))</f>
        <v>23</v>
      </c>
      <c r="GO98" s="88" cm="1">
        <f t="array" ref="GO98">_xlfn.LET(_xlpm.rad,$FO98+1,_xlpm.typ,INDEX($E$20:$E$68,_xlpm.rad),_xlpm.kod,INDEX(AG$19:AG$68,_xlpm.rad),IFERROR(IF(AND(_xlpm.typ="H",_xlpm.kod&lt;&gt;""),UPPER(_xlpm.kod),GO$18),GO$18))</f>
        <v>24</v>
      </c>
      <c r="GP98" s="88" cm="1">
        <f t="array" ref="GP98">_xlfn.LET(_xlpm.rad,$FO98+1,_xlpm.typ,INDEX($E$20:$E$68,_xlpm.rad),_xlpm.kod,INDEX(AH$19:AH$68,_xlpm.rad),IFERROR(IF(AND(_xlpm.typ="H",_xlpm.kod&lt;&gt;""),UPPER(_xlpm.kod),GP$18),GP$18))</f>
        <v>25</v>
      </c>
      <c r="GQ98" s="88" cm="1">
        <f t="array" ref="GQ98">_xlfn.LET(_xlpm.rad,$FO98+1,_xlpm.typ,INDEX($E$20:$E$68,_xlpm.rad),_xlpm.kod,INDEX(AI$19:AI$68,_xlpm.rad),IFERROR(IF(AND(_xlpm.typ="H",_xlpm.kod&lt;&gt;""),UPPER(_xlpm.kod),GQ$18),GQ$18))</f>
        <v>26</v>
      </c>
      <c r="GR98" s="88" cm="1">
        <f t="array" ref="GR98">_xlfn.LET(_xlpm.rad,$FO98+1,_xlpm.typ,INDEX($E$20:$E$68,_xlpm.rad),_xlpm.kod,INDEX(AJ$19:AJ$68,_xlpm.rad),IFERROR(IF(AND(_xlpm.typ="H",_xlpm.kod&lt;&gt;""),UPPER(_xlpm.kod),GR$18),GR$18))</f>
        <v>27</v>
      </c>
      <c r="GS98" s="88" cm="1">
        <f t="array" ref="GS98">_xlfn.LET(_xlpm.rad,$FO98+1,_xlpm.typ,INDEX($E$20:$E$68,_xlpm.rad),_xlpm.kod,INDEX(AK$19:AK$68,_xlpm.rad),IFERROR(IF(AND(_xlpm.typ="H",_xlpm.kod&lt;&gt;""),UPPER(_xlpm.kod),GS$18),GS$18))</f>
        <v>28</v>
      </c>
      <c r="GT98" s="88" cm="1">
        <f t="array" ref="GT98">_xlfn.LET(_xlpm.rad,$FO98+1,_xlpm.typ,INDEX($E$20:$E$68,_xlpm.rad),_xlpm.kod,INDEX(AL$19:AL$68,_xlpm.rad),IFERROR(IF(AND(_xlpm.typ="H",_xlpm.kod&lt;&gt;""),UPPER(_xlpm.kod),GT$18),GT$18))</f>
        <v>29</v>
      </c>
      <c r="GU98" s="88" cm="1">
        <f t="array" ref="GU98">_xlfn.LET(_xlpm.rad,$FO98+1,_xlpm.typ,INDEX($E$20:$E$68,_xlpm.rad),_xlpm.kod,INDEX(AM$19:AM$68,_xlpm.rad),IFERROR(IF(AND(_xlpm.typ="H",_xlpm.kod&lt;&gt;""),UPPER(_xlpm.kod),GU$18),GU$18))</f>
        <v>30</v>
      </c>
    </row>
    <row r="99" spans="7:203" x14ac:dyDescent="0.35">
      <c r="G99" s="116"/>
      <c r="H99" s="117"/>
      <c r="I99" s="119" t="s">
        <v>1379</v>
      </c>
      <c r="J99" s="12" t="s">
        <v>1461</v>
      </c>
      <c r="EG99" s="88">
        <f t="shared" ref="EG99" si="3140">COUNTIF(EK99:FN99,0.3)</f>
        <v>0</v>
      </c>
      <c r="EH99" s="88">
        <f t="shared" ref="EH99" si="3141">COUNTIF(EK99:FN99,0.5)</f>
        <v>0</v>
      </c>
      <c r="EI99" s="88" t="str">
        <f t="shared" ref="EI99" si="3142">IF(AND(T31="",OR(EG99&gt;5,EH99&gt;5)),"X",IF(SUM(EK99:FN99)&gt;5,"X",""))</f>
        <v/>
      </c>
      <c r="EK99" s="88" t="str">
        <f t="shared" ref="EK99" si="3143">IF($T$5="",IF(RIGHT(J45,4)="*0,5",0.5,IF(RIGHT(J45,4)="*0,3",0.3,IF(EK46&lt;&gt;"",1,""))),IF(EK46&lt;&gt;"",IF(OR(RIGHT(J45,4)="*0,5",RIGHT(J45,4)="*0,3"),0.5,1),""))</f>
        <v/>
      </c>
      <c r="EL99" s="88" t="str">
        <f t="shared" ref="EL99" si="3144">IF($T$5="",IF(RIGHT(K45,4)="*0,5",0.5,IF(RIGHT(K45,4)="*0,3",0.3,IF(EL46&lt;&gt;"",1,""))),IF(EL46&lt;&gt;"",IF(OR(RIGHT(K45,4)="*0,5",RIGHT(K45,4)="*0,3"),0.5,1),""))</f>
        <v/>
      </c>
      <c r="EM99" s="88" t="str">
        <f t="shared" ref="EM99" si="3145">IF($T$5="",IF(RIGHT(L45,4)="*0,5",0.5,IF(RIGHT(L45,4)="*0,3",0.3,IF(EM46&lt;&gt;"",1,""))),IF(EM46&lt;&gt;"",IF(OR(RIGHT(L45,4)="*0,5",RIGHT(L45,4)="*0,3"),0.5,1),""))</f>
        <v/>
      </c>
      <c r="EN99" s="88" t="str">
        <f t="shared" ref="EN99" si="3146">IF($T$5="",IF(RIGHT(M45,4)="*0,5",0.5,IF(RIGHT(M45,4)="*0,3",0.3,IF(EN46&lt;&gt;"",1,""))),IF(EN46&lt;&gt;"",IF(OR(RIGHT(M45,4)="*0,5",RIGHT(M45,4)="*0,3"),0.5,1),""))</f>
        <v/>
      </c>
      <c r="EO99" s="88" t="str">
        <f t="shared" ref="EO99" si="3147">IF($T$5="",IF(RIGHT(N45,4)="*0,5",0.5,IF(RIGHT(N45,4)="*0,3",0.3,IF(EO46&lt;&gt;"",1,""))),IF(EO46&lt;&gt;"",IF(OR(RIGHT(N45,4)="*0,5",RIGHT(N45,4)="*0,3"),0.5,1),""))</f>
        <v/>
      </c>
      <c r="EP99" s="88" t="str">
        <f t="shared" ref="EP99" si="3148">IF($T$5="",IF(RIGHT(O45,4)="*0,5",0.5,IF(RIGHT(O45,4)="*0,3",0.3,IF(EP46&lt;&gt;"",1,""))),IF(EP46&lt;&gt;"",IF(OR(RIGHT(O45,4)="*0,5",RIGHT(O45,4)="*0,3"),0.5,1),""))</f>
        <v/>
      </c>
      <c r="EQ99" s="88" t="str">
        <f t="shared" ref="EQ99" si="3149">IF($T$5="",IF(RIGHT(P45,4)="*0,5",0.5,IF(RIGHT(P45,4)="*0,3",0.3,IF(EQ46&lt;&gt;"",1,""))),IF(EQ46&lt;&gt;"",IF(OR(RIGHT(P45,4)="*0,5",RIGHT(P45,4)="*0,3"),0.5,1),""))</f>
        <v/>
      </c>
      <c r="ER99" s="88" t="str">
        <f t="shared" ref="ER99" si="3150">IF($T$5="",IF(RIGHT(Q45,4)="*0,5",0.5,IF(RIGHT(Q45,4)="*0,3",0.3,IF(ER46&lt;&gt;"",1,""))),IF(ER46&lt;&gt;"",IF(OR(RIGHT(Q45,4)="*0,5",RIGHT(Q45,4)="*0,3"),0.5,1),""))</f>
        <v/>
      </c>
      <c r="ES99" s="88" t="str">
        <f t="shared" ref="ES99" si="3151">IF($T$5="",IF(RIGHT(R45,4)="*0,5",0.5,IF(RIGHT(R45,4)="*0,3",0.3,IF(ES46&lt;&gt;"",1,""))),IF(ES46&lt;&gt;"",IF(OR(RIGHT(R45,4)="*0,5",RIGHT(R45,4)="*0,3"),0.5,1),""))</f>
        <v/>
      </c>
      <c r="ET99" s="88" t="str">
        <f t="shared" ref="ET99" si="3152">IF($T$5="",IF(RIGHT(S45,4)="*0,5",0.5,IF(RIGHT(S45,4)="*0,3",0.3,IF(ET46&lt;&gt;"",1,""))),IF(ET46&lt;&gt;"",IF(OR(RIGHT(S45,4)="*0,5",RIGHT(S45,4)="*0,3"),0.5,1),""))</f>
        <v/>
      </c>
      <c r="EU99" s="88" t="str">
        <f t="shared" ref="EU99" si="3153">IF($T$5="",IF(RIGHT(T45,4)="*0,5",0.5,IF(RIGHT(T45,4)="*0,3",0.3,IF(EU46&lt;&gt;"",1,""))),IF(EU46&lt;&gt;"",IF(OR(RIGHT(T45,4)="*0,5",RIGHT(T45,4)="*0,3"),0.5,1),""))</f>
        <v/>
      </c>
      <c r="EV99" s="88" t="str">
        <f t="shared" ref="EV99" si="3154">IF($T$5="",IF(RIGHT(U45,4)="*0,5",0.5,IF(RIGHT(U45,4)="*0,3",0.3,IF(EV46&lt;&gt;"",1,""))),IF(EV46&lt;&gt;"",IF(OR(RIGHT(U45,4)="*0,5",RIGHT(U45,4)="*0,3"),0.5,1),""))</f>
        <v/>
      </c>
      <c r="EW99" s="88" t="str">
        <f t="shared" ref="EW99" si="3155">IF($T$5="",IF(RIGHT(V45,4)="*0,5",0.5,IF(RIGHT(V45,4)="*0,3",0.3,IF(EW46&lt;&gt;"",1,""))),IF(EW46&lt;&gt;"",IF(OR(RIGHT(V45,4)="*0,5",RIGHT(V45,4)="*0,3"),0.5,1),""))</f>
        <v/>
      </c>
      <c r="EX99" s="88" t="str">
        <f t="shared" ref="EX99" si="3156">IF($T$5="",IF(RIGHT(W45,4)="*0,5",0.5,IF(RIGHT(W45,4)="*0,3",0.3,IF(EX46&lt;&gt;"",1,""))),IF(EX46&lt;&gt;"",IF(OR(RIGHT(W45,4)="*0,5",RIGHT(W45,4)="*0,3"),0.5,1),""))</f>
        <v/>
      </c>
      <c r="EY99" s="88" t="str">
        <f t="shared" ref="EY99" si="3157">IF($T$5="",IF(RIGHT(X45,4)="*0,5",0.5,IF(RIGHT(X45,4)="*0,3",0.3,IF(EY46&lt;&gt;"",1,""))),IF(EY46&lt;&gt;"",IF(OR(RIGHT(X45,4)="*0,5",RIGHT(X45,4)="*0,3"),0.5,1),""))</f>
        <v/>
      </c>
      <c r="EZ99" s="88" t="str">
        <f t="shared" ref="EZ99" si="3158">IF($T$5="",IF(RIGHT(Y45,4)="*0,5",0.5,IF(RIGHT(Y45,4)="*0,3",0.3,IF(EZ46&lt;&gt;"",1,""))),IF(EZ46&lt;&gt;"",IF(OR(RIGHT(Y45,4)="*0,5",RIGHT(Y45,4)="*0,3"),0.5,1),""))</f>
        <v/>
      </c>
      <c r="FA99" s="88" t="str">
        <f t="shared" ref="FA99" si="3159">IF($T$5="",IF(RIGHT(Z45,4)="*0,5",0.5,IF(RIGHT(Z45,4)="*0,3",0.3,IF(FA46&lt;&gt;"",1,""))),IF(FA46&lt;&gt;"",IF(OR(RIGHT(Z45,4)="*0,5",RIGHT(Z45,4)="*0,3"),0.5,1),""))</f>
        <v/>
      </c>
      <c r="FB99" s="88" t="str">
        <f t="shared" ref="FB99" si="3160">IF($T$5="",IF(RIGHT(AA45,4)="*0,5",0.5,IF(RIGHT(AA45,4)="*0,3",0.3,IF(FB46&lt;&gt;"",1,""))),IF(FB46&lt;&gt;"",IF(OR(RIGHT(AA45,4)="*0,5",RIGHT(AA45,4)="*0,3"),0.5,1),""))</f>
        <v/>
      </c>
      <c r="FC99" s="88" t="str">
        <f t="shared" ref="FC99" si="3161">IF($T$5="",IF(RIGHT(AB45,4)="*0,5",0.5,IF(RIGHT(AB45,4)="*0,3",0.3,IF(FC46&lt;&gt;"",1,""))),IF(FC46&lt;&gt;"",IF(OR(RIGHT(AB45,4)="*0,5",RIGHT(AB45,4)="*0,3"),0.5,1),""))</f>
        <v/>
      </c>
      <c r="FD99" s="88" t="str">
        <f t="shared" ref="FD99" si="3162">IF($T$5="",IF(RIGHT(AC45,4)="*0,5",0.5,IF(RIGHT(AC45,4)="*0,3",0.3,IF(FD46&lt;&gt;"",1,""))),IF(FD46&lt;&gt;"",IF(OR(RIGHT(AC45,4)="*0,5",RIGHT(AC45,4)="*0,3"),0.5,1),""))</f>
        <v/>
      </c>
      <c r="FE99" s="88" t="str">
        <f t="shared" ref="FE99" si="3163">IF($T$5="",IF(RIGHT(AD45,4)="*0,5",0.5,IF(RIGHT(AD45,4)="*0,3",0.3,IF(FE46&lt;&gt;"",1,""))),IF(FE46&lt;&gt;"",IF(OR(RIGHT(AD45,4)="*0,5",RIGHT(AD45,4)="*0,3"),0.5,1),""))</f>
        <v/>
      </c>
      <c r="FF99" s="88" t="str">
        <f t="shared" ref="FF99" si="3164">IF($T$5="",IF(RIGHT(AE45,4)="*0,5",0.5,IF(RIGHT(AE45,4)="*0,3",0.3,IF(FF46&lt;&gt;"",1,""))),IF(FF46&lt;&gt;"",IF(OR(RIGHT(AE45,4)="*0,5",RIGHT(AE45,4)="*0,3"),0.5,1),""))</f>
        <v/>
      </c>
      <c r="FG99" s="88" t="str">
        <f t="shared" ref="FG99" si="3165">IF($T$5="",IF(RIGHT(AF45,4)="*0,5",0.5,IF(RIGHT(AF45,4)="*0,3",0.3,IF(FG46&lt;&gt;"",1,""))),IF(FG46&lt;&gt;"",IF(OR(RIGHT(AF45,4)="*0,5",RIGHT(AF45,4)="*0,3"),0.5,1),""))</f>
        <v/>
      </c>
      <c r="FH99" s="88" t="str">
        <f t="shared" ref="FH99" si="3166">IF($T$5="",IF(RIGHT(AG45,4)="*0,5",0.5,IF(RIGHT(AG45,4)="*0,3",0.3,IF(FH46&lt;&gt;"",1,""))),IF(FH46&lt;&gt;"",IF(OR(RIGHT(AG45,4)="*0,5",RIGHT(AG45,4)="*0,3"),0.5,1),""))</f>
        <v/>
      </c>
      <c r="FI99" s="88" t="str">
        <f t="shared" ref="FI99" si="3167">IF($T$5="",IF(RIGHT(AH45,4)="*0,5",0.5,IF(RIGHT(AH45,4)="*0,3",0.3,IF(FI46&lt;&gt;"",1,""))),IF(FI46&lt;&gt;"",IF(OR(RIGHT(AH45,4)="*0,5",RIGHT(AH45,4)="*0,3"),0.5,1),""))</f>
        <v/>
      </c>
      <c r="FJ99" s="88" t="str">
        <f t="shared" ref="FJ99" si="3168">IF($T$5="",IF(RIGHT(AI45,4)="*0,5",0.5,IF(RIGHT(AI45,4)="*0,3",0.3,IF(FJ46&lt;&gt;"",1,""))),IF(FJ46&lt;&gt;"",IF(OR(RIGHT(AI45,4)="*0,5",RIGHT(AI45,4)="*0,3"),0.5,1),""))</f>
        <v/>
      </c>
      <c r="FK99" s="88" t="str">
        <f t="shared" ref="FK99" si="3169">IF($T$5="",IF(RIGHT(AJ45,4)="*0,5",0.5,IF(RIGHT(AJ45,4)="*0,3",0.3,IF(FK46&lt;&gt;"",1,""))),IF(FK46&lt;&gt;"",IF(OR(RIGHT(AJ45,4)="*0,5",RIGHT(AJ45,4)="*0,3"),0.5,1),""))</f>
        <v/>
      </c>
      <c r="FL99" s="88" t="str">
        <f t="shared" ref="FL99" si="3170">IF($T$5="",IF(RIGHT(AK45,4)="*0,5",0.5,IF(RIGHT(AK45,4)="*0,3",0.3,IF(FL46&lt;&gt;"",1,""))),IF(FL46&lt;&gt;"",IF(OR(RIGHT(AK45,4)="*0,5",RIGHT(AK45,4)="*0,3"),0.5,1),""))</f>
        <v/>
      </c>
      <c r="FM99" s="88" t="str">
        <f t="shared" ref="FM99" si="3171">IF($T$5="",IF(RIGHT(AL45,4)="*0,5",0.5,IF(RIGHT(AL45,4)="*0,3",0.3,IF(FM46&lt;&gt;"",1,""))),IF(FM46&lt;&gt;"",IF(OR(RIGHT(AL45,4)="*0,5",RIGHT(AL45,4)="*0,3"),0.5,1),""))</f>
        <v/>
      </c>
      <c r="FN99" s="88" t="str">
        <f t="shared" ref="FN99" si="3172">IF($T$5="",IF(RIGHT(AM45,4)="*0,5",0.5,IF(RIGHT(AM45,4)="*0,3",0.3,IF(FN46&lt;&gt;"",1,""))),IF(FN46&lt;&gt;"",IF(OR(RIGHT(AM45,4)="*0,5",RIGHT(AM45,4)="*0,3"),0.5,1),""))</f>
        <v/>
      </c>
      <c r="FR99" s="88" cm="1">
        <f t="array" ref="FR99">_xlfn.LET(_xlpm.rad,$FO98+1,_xlpm.typ,INDEX($E$20:$E$68,_xlpm.rad),_xlpm.kod,INDEX(J$19:J$68,_xlpm.rad),_xlpm.del,INDEX($F$19:$F$68,_xlpm.rad),IFERROR(IF(AND(_xlpm.typ="H",_xlpm.kod&lt;&gt;"",_xlpm.del&lt;&gt;"Hybrid - Thrust + 2 connections"),INDEX(Hyb_Tech,MATCH(_xlpm.kod,Hyb_Code,0)),FR$72),FR$72))</f>
        <v>1</v>
      </c>
      <c r="FS99" s="88" cm="1">
        <f t="array" ref="FS99">_xlfn.LET(_xlpm.rad,$FO98+1,_xlpm.typ,INDEX($E$20:$E$68,_xlpm.rad),_xlpm.kod,INDEX(K$19:K$68,_xlpm.rad),_xlpm.del,INDEX($F$19:$F$68,_xlpm.rad),IFERROR(IF(AND(_xlpm.typ="H",_xlpm.kod&lt;&gt;"",_xlpm.del&lt;&gt;"Hybrid - Thrust + 2 connections"),INDEX(Hyb_Tech,MATCH(_xlpm.kod,Hyb_Code,0)),FS$72),FS$72))</f>
        <v>2</v>
      </c>
      <c r="FT99" s="88" cm="1">
        <f t="array" ref="FT99">_xlfn.LET(_xlpm.rad,$FO98+1,_xlpm.typ,INDEX($E$20:$E$68,_xlpm.rad),_xlpm.kod,INDEX(L$19:L$68,_xlpm.rad),_xlpm.del,INDEX($F$19:$F$68,_xlpm.rad),IFERROR(IF(AND(_xlpm.typ="H",_xlpm.kod&lt;&gt;"",_xlpm.del&lt;&gt;"Hybrid - Thrust + 2 connections"),INDEX(Hyb_Tech,MATCH(_xlpm.kod,Hyb_Code,0)),FT$72),FT$72))</f>
        <v>3</v>
      </c>
      <c r="FU99" s="88" cm="1">
        <f t="array" ref="FU99">_xlfn.LET(_xlpm.rad,$FO98+1,_xlpm.typ,INDEX($E$20:$E$68,_xlpm.rad),_xlpm.kod,INDEX(M$19:M$68,_xlpm.rad),_xlpm.del,INDEX($F$19:$F$68,_xlpm.rad),IFERROR(IF(AND(_xlpm.typ="H",_xlpm.kod&lt;&gt;"",_xlpm.del&lt;&gt;"Hybrid - Thrust + 2 connections"),INDEX(Hyb_Tech,MATCH(_xlpm.kod,Hyb_Code,0)),FU$72),FU$72))</f>
        <v>4</v>
      </c>
      <c r="FV99" s="88" cm="1">
        <f t="array" ref="FV99">_xlfn.LET(_xlpm.rad,$FO98+1,_xlpm.typ,INDEX($E$20:$E$68,_xlpm.rad),_xlpm.kod,INDEX(N$19:N$68,_xlpm.rad),_xlpm.del,INDEX($F$19:$F$68,_xlpm.rad),IFERROR(IF(AND(_xlpm.typ="H",_xlpm.kod&lt;&gt;"",_xlpm.del&lt;&gt;"Hybrid - Thrust + 2 connections"),INDEX(Hyb_Tech,MATCH(_xlpm.kod,Hyb_Code,0)),FV$72),FV$72))</f>
        <v>5</v>
      </c>
      <c r="FW99" s="88" cm="1">
        <f t="array" ref="FW99">_xlfn.LET(_xlpm.rad,$FO98+1,_xlpm.typ,INDEX($E$20:$E$68,_xlpm.rad),_xlpm.kod,INDEX(O$19:O$68,_xlpm.rad),_xlpm.del,INDEX($F$19:$F$68,_xlpm.rad),IFERROR(IF(AND(_xlpm.typ="H",_xlpm.kod&lt;&gt;"",_xlpm.del&lt;&gt;"Hybrid - Thrust + 2 connections"),INDEX(Hyb_Tech,MATCH(_xlpm.kod,Hyb_Code,0)),FW$72),FW$72))</f>
        <v>6</v>
      </c>
      <c r="FX99" s="88" cm="1">
        <f t="array" ref="FX99">_xlfn.LET(_xlpm.rad,$FO98+1,_xlpm.typ,INDEX($E$20:$E$68,_xlpm.rad),_xlpm.kod,INDEX(P$19:P$68,_xlpm.rad),_xlpm.del,INDEX($F$19:$F$68,_xlpm.rad),IFERROR(IF(AND(_xlpm.typ="H",_xlpm.kod&lt;&gt;"",_xlpm.del&lt;&gt;"Hybrid - Thrust + 2 connections"),INDEX(Hyb_Tech,MATCH(_xlpm.kod,Hyb_Code,0)),FX$72),FX$72))</f>
        <v>7</v>
      </c>
      <c r="FY99" s="88" cm="1">
        <f t="array" ref="FY99">_xlfn.LET(_xlpm.rad,$FO98+1,_xlpm.typ,INDEX($E$20:$E$68,_xlpm.rad),_xlpm.kod,INDEX(Q$19:Q$68,_xlpm.rad),_xlpm.del,INDEX($F$19:$F$68,_xlpm.rad),IFERROR(IF(AND(_xlpm.typ="H",_xlpm.kod&lt;&gt;"",_xlpm.del&lt;&gt;"Hybrid - Thrust + 2 connections"),INDEX(Hyb_Tech,MATCH(_xlpm.kod,Hyb_Code,0)),FY$72),FY$72))</f>
        <v>8</v>
      </c>
      <c r="FZ99" s="88" cm="1">
        <f t="array" ref="FZ99">_xlfn.LET(_xlpm.rad,$FO98+1,_xlpm.typ,INDEX($E$20:$E$68,_xlpm.rad),_xlpm.kod,INDEX(R$19:R$68,_xlpm.rad),_xlpm.del,INDEX($F$19:$F$68,_xlpm.rad),IFERROR(IF(AND(_xlpm.typ="H",_xlpm.kod&lt;&gt;"",_xlpm.del&lt;&gt;"Hybrid - Thrust + 2 connections"),INDEX(Hyb_Tech,MATCH(_xlpm.kod,Hyb_Code,0)),FZ$72),FZ$72))</f>
        <v>9</v>
      </c>
      <c r="GA99" s="88" cm="1">
        <f t="array" ref="GA99">_xlfn.LET(_xlpm.rad,$FO98+1,_xlpm.typ,INDEX($E$20:$E$68,_xlpm.rad),_xlpm.kod,INDEX(S$19:S$68,_xlpm.rad),_xlpm.del,INDEX($F$19:$F$68,_xlpm.rad),IFERROR(IF(AND(_xlpm.typ="H",_xlpm.kod&lt;&gt;"",_xlpm.del&lt;&gt;"Hybrid - Thrust + 2 connections"),INDEX(Hyb_Tech,MATCH(_xlpm.kod,Hyb_Code,0)),GA$72),GA$72))</f>
        <v>10</v>
      </c>
      <c r="GB99" s="88" cm="1">
        <f t="array" ref="GB99">_xlfn.LET(_xlpm.rad,$FO98+1,_xlpm.typ,INDEX($E$20:$E$68,_xlpm.rad),_xlpm.kod,INDEX(T$19:T$68,_xlpm.rad),_xlpm.del,INDEX($F$19:$F$68,_xlpm.rad),IFERROR(IF(AND(_xlpm.typ="H",_xlpm.kod&lt;&gt;"",_xlpm.del&lt;&gt;"Hybrid - Thrust + 2 connections"),INDEX(Hyb_Tech,MATCH(_xlpm.kod,Hyb_Code,0)),GB$72),GB$72))</f>
        <v>11</v>
      </c>
      <c r="GC99" s="88" cm="1">
        <f t="array" ref="GC99">_xlfn.LET(_xlpm.rad,$FO98+1,_xlpm.typ,INDEX($E$20:$E$68,_xlpm.rad),_xlpm.kod,INDEX(U$19:U$68,_xlpm.rad),_xlpm.del,INDEX($F$19:$F$68,_xlpm.rad),IFERROR(IF(AND(_xlpm.typ="H",_xlpm.kod&lt;&gt;"",_xlpm.del&lt;&gt;"Hybrid - Thrust + 2 connections"),INDEX(Hyb_Tech,MATCH(_xlpm.kod,Hyb_Code,0)),GC$72),GC$72))</f>
        <v>12</v>
      </c>
      <c r="GD99" s="88" cm="1">
        <f t="array" ref="GD99">_xlfn.LET(_xlpm.rad,$FO98+1,_xlpm.typ,INDEX($E$20:$E$68,_xlpm.rad),_xlpm.kod,INDEX(V$19:V$68,_xlpm.rad),_xlpm.del,INDEX($F$19:$F$68,_xlpm.rad),IFERROR(IF(AND(_xlpm.typ="H",_xlpm.kod&lt;&gt;"",_xlpm.del&lt;&gt;"Hybrid - Thrust + 2 connections"),INDEX(Hyb_Tech,MATCH(_xlpm.kod,Hyb_Code,0)),GD$72),GD$72))</f>
        <v>13</v>
      </c>
      <c r="GE99" s="88" cm="1">
        <f t="array" ref="GE99">_xlfn.LET(_xlpm.rad,$FO98+1,_xlpm.typ,INDEX($E$20:$E$68,_xlpm.rad),_xlpm.kod,INDEX(W$19:W$68,_xlpm.rad),_xlpm.del,INDEX($F$19:$F$68,_xlpm.rad),IFERROR(IF(AND(_xlpm.typ="H",_xlpm.kod&lt;&gt;"",_xlpm.del&lt;&gt;"Hybrid - Thrust + 2 connections"),INDEX(Hyb_Tech,MATCH(_xlpm.kod,Hyb_Code,0)),GE$72),GE$72))</f>
        <v>14</v>
      </c>
      <c r="GF99" s="88" cm="1">
        <f t="array" ref="GF99">_xlfn.LET(_xlpm.rad,$FO98+1,_xlpm.typ,INDEX($E$20:$E$68,_xlpm.rad),_xlpm.kod,INDEX(X$19:X$68,_xlpm.rad),_xlpm.del,INDEX($F$19:$F$68,_xlpm.rad),IFERROR(IF(AND(_xlpm.typ="H",_xlpm.kod&lt;&gt;"",_xlpm.del&lt;&gt;"Hybrid - Thrust + 2 connections"),INDEX(Hyb_Tech,MATCH(_xlpm.kod,Hyb_Code,0)),GF$72),GF$72))</f>
        <v>15</v>
      </c>
      <c r="GG99" s="88" cm="1">
        <f t="array" ref="GG99">_xlfn.LET(_xlpm.rad,$FO98+1,_xlpm.typ,INDEX($E$20:$E$68,_xlpm.rad),_xlpm.kod,INDEX(Y$19:Y$68,_xlpm.rad),_xlpm.del,INDEX($F$19:$F$68,_xlpm.rad),IFERROR(IF(AND(_xlpm.typ="H",_xlpm.kod&lt;&gt;"",_xlpm.del&lt;&gt;"Hybrid - Thrust + 2 connections"),INDEX(Hyb_Tech,MATCH(_xlpm.kod,Hyb_Code,0)),GG$72),GG$72))</f>
        <v>16</v>
      </c>
      <c r="GH99" s="88" cm="1">
        <f t="array" ref="GH99">_xlfn.LET(_xlpm.rad,$FO98+1,_xlpm.typ,INDEX($E$20:$E$68,_xlpm.rad),_xlpm.kod,INDEX(Z$19:Z$68,_xlpm.rad),_xlpm.del,INDEX($F$19:$F$68,_xlpm.rad),IFERROR(IF(AND(_xlpm.typ="H",_xlpm.kod&lt;&gt;"",_xlpm.del&lt;&gt;"Hybrid - Thrust + 2 connections"),INDEX(Hyb_Tech,MATCH(_xlpm.kod,Hyb_Code,0)),GH$72),GH$72))</f>
        <v>17</v>
      </c>
      <c r="GI99" s="88" cm="1">
        <f t="array" ref="GI99">_xlfn.LET(_xlpm.rad,$FO98+1,_xlpm.typ,INDEX($E$20:$E$68,_xlpm.rad),_xlpm.kod,INDEX(AA$19:AA$68,_xlpm.rad),_xlpm.del,INDEX($F$19:$F$68,_xlpm.rad),IFERROR(IF(AND(_xlpm.typ="H",_xlpm.kod&lt;&gt;"",_xlpm.del&lt;&gt;"Hybrid - Thrust + 2 connections"),INDEX(Hyb_Tech,MATCH(_xlpm.kod,Hyb_Code,0)),GI$72),GI$72))</f>
        <v>18</v>
      </c>
      <c r="GJ99" s="88" cm="1">
        <f t="array" ref="GJ99">_xlfn.LET(_xlpm.rad,$FO98+1,_xlpm.typ,INDEX($E$20:$E$68,_xlpm.rad),_xlpm.kod,INDEX(AB$19:AB$68,_xlpm.rad),_xlpm.del,INDEX($F$19:$F$68,_xlpm.rad),IFERROR(IF(AND(_xlpm.typ="H",_xlpm.kod&lt;&gt;"",_xlpm.del&lt;&gt;"Hybrid - Thrust + 2 connections"),INDEX(Hyb_Tech,MATCH(_xlpm.kod,Hyb_Code,0)),GJ$72),GJ$72))</f>
        <v>19</v>
      </c>
      <c r="GK99" s="88" cm="1">
        <f t="array" ref="GK99">_xlfn.LET(_xlpm.rad,$FO98+1,_xlpm.typ,INDEX($E$20:$E$68,_xlpm.rad),_xlpm.kod,INDEX(AC$19:AC$68,_xlpm.rad),_xlpm.del,INDEX($F$19:$F$68,_xlpm.rad),IFERROR(IF(AND(_xlpm.typ="H",_xlpm.kod&lt;&gt;"",_xlpm.del&lt;&gt;"Hybrid - Thrust + 2 connections"),INDEX(Hyb_Tech,MATCH(_xlpm.kod,Hyb_Code,0)),GK$72),GK$72))</f>
        <v>20</v>
      </c>
      <c r="GL99" s="88" cm="1">
        <f t="array" ref="GL99">_xlfn.LET(_xlpm.rad,$FO98+1,_xlpm.typ,INDEX($E$20:$E$68,_xlpm.rad),_xlpm.kod,INDEX(AD$19:AD$68,_xlpm.rad),_xlpm.del,INDEX($F$19:$F$68,_xlpm.rad),IFERROR(IF(AND(_xlpm.typ="H",_xlpm.kod&lt;&gt;"",_xlpm.del&lt;&gt;"Hybrid - Thrust + 2 connections"),INDEX(Hyb_Tech,MATCH(_xlpm.kod,Hyb_Code,0)),GL$72),GL$72))</f>
        <v>21</v>
      </c>
      <c r="GM99" s="88" cm="1">
        <f t="array" ref="GM99">_xlfn.LET(_xlpm.rad,$FO98+1,_xlpm.typ,INDEX($E$20:$E$68,_xlpm.rad),_xlpm.kod,INDEX(AE$19:AE$68,_xlpm.rad),_xlpm.del,INDEX($F$19:$F$68,_xlpm.rad),IFERROR(IF(AND(_xlpm.typ="H",_xlpm.kod&lt;&gt;"",_xlpm.del&lt;&gt;"Hybrid - Thrust + 2 connections"),INDEX(Hyb_Tech,MATCH(_xlpm.kod,Hyb_Code,0)),GM$72),GM$72))</f>
        <v>22</v>
      </c>
      <c r="GN99" s="88" cm="1">
        <f t="array" ref="GN99">_xlfn.LET(_xlpm.rad,$FO98+1,_xlpm.typ,INDEX($E$20:$E$68,_xlpm.rad),_xlpm.kod,INDEX(AF$19:AF$68,_xlpm.rad),_xlpm.del,INDEX($F$19:$F$68,_xlpm.rad),IFERROR(IF(AND(_xlpm.typ="H",_xlpm.kod&lt;&gt;"",_xlpm.del&lt;&gt;"Hybrid - Thrust + 2 connections"),INDEX(Hyb_Tech,MATCH(_xlpm.kod,Hyb_Code,0)),GN$72),GN$72))</f>
        <v>23</v>
      </c>
      <c r="GO99" s="88" cm="1">
        <f t="array" ref="GO99">_xlfn.LET(_xlpm.rad,$FO98+1,_xlpm.typ,INDEX($E$20:$E$68,_xlpm.rad),_xlpm.kod,INDEX(AG$19:AG$68,_xlpm.rad),_xlpm.del,INDEX($F$19:$F$68,_xlpm.rad),IFERROR(IF(AND(_xlpm.typ="H",_xlpm.kod&lt;&gt;"",_xlpm.del&lt;&gt;"Hybrid - Thrust + 2 connections"),INDEX(Hyb_Tech,MATCH(_xlpm.kod,Hyb_Code,0)),GO$72),GO$72))</f>
        <v>24</v>
      </c>
      <c r="GP99" s="88" cm="1">
        <f t="array" ref="GP99">_xlfn.LET(_xlpm.rad,$FO98+1,_xlpm.typ,INDEX($E$20:$E$68,_xlpm.rad),_xlpm.kod,INDEX(AH$19:AH$68,_xlpm.rad),_xlpm.del,INDEX($F$19:$F$68,_xlpm.rad),IFERROR(IF(AND(_xlpm.typ="H",_xlpm.kod&lt;&gt;"",_xlpm.del&lt;&gt;"Hybrid - Thrust + 2 connections"),INDEX(Hyb_Tech,MATCH(_xlpm.kod,Hyb_Code,0)),GP$72),GP$72))</f>
        <v>25</v>
      </c>
      <c r="GQ99" s="88" cm="1">
        <f t="array" ref="GQ99">_xlfn.LET(_xlpm.rad,$FO98+1,_xlpm.typ,INDEX($E$20:$E$68,_xlpm.rad),_xlpm.kod,INDEX(AI$19:AI$68,_xlpm.rad),_xlpm.del,INDEX($F$19:$F$68,_xlpm.rad),IFERROR(IF(AND(_xlpm.typ="H",_xlpm.kod&lt;&gt;"",_xlpm.del&lt;&gt;"Hybrid - Thrust + 2 connections"),INDEX(Hyb_Tech,MATCH(_xlpm.kod,Hyb_Code,0)),GQ$72),GQ$72))</f>
        <v>26</v>
      </c>
      <c r="GR99" s="88" cm="1">
        <f t="array" ref="GR99">_xlfn.LET(_xlpm.rad,$FO98+1,_xlpm.typ,INDEX($E$20:$E$68,_xlpm.rad),_xlpm.kod,INDEX(AJ$19:AJ$68,_xlpm.rad),_xlpm.del,INDEX($F$19:$F$68,_xlpm.rad),IFERROR(IF(AND(_xlpm.typ="H",_xlpm.kod&lt;&gt;"",_xlpm.del&lt;&gt;"Hybrid - Thrust + 2 connections"),INDEX(Hyb_Tech,MATCH(_xlpm.kod,Hyb_Code,0)),GR$72),GR$72))</f>
        <v>27</v>
      </c>
      <c r="GS99" s="88" cm="1">
        <f t="array" ref="GS99">_xlfn.LET(_xlpm.rad,$FO98+1,_xlpm.typ,INDEX($E$20:$E$68,_xlpm.rad),_xlpm.kod,INDEX(AK$19:AK$68,_xlpm.rad),_xlpm.del,INDEX($F$19:$F$68,_xlpm.rad),IFERROR(IF(AND(_xlpm.typ="H",_xlpm.kod&lt;&gt;"",_xlpm.del&lt;&gt;"Hybrid - Thrust + 2 connections"),INDEX(Hyb_Tech,MATCH(_xlpm.kod,Hyb_Code,0)),GS$72),GS$72))</f>
        <v>28</v>
      </c>
      <c r="GT99" s="88" cm="1">
        <f t="array" ref="GT99">_xlfn.LET(_xlpm.rad,$FO98+1,_xlpm.typ,INDEX($E$20:$E$68,_xlpm.rad),_xlpm.kod,INDEX(AL$19:AL$68,_xlpm.rad),_xlpm.del,INDEX($F$19:$F$68,_xlpm.rad),IFERROR(IF(AND(_xlpm.typ="H",_xlpm.kod&lt;&gt;"",_xlpm.del&lt;&gt;"Hybrid - Thrust + 2 connections"),INDEX(Hyb_Tech,MATCH(_xlpm.kod,Hyb_Code,0)),GT$72),GT$72))</f>
        <v>29</v>
      </c>
      <c r="GU99" s="88" cm="1">
        <f t="array" ref="GU99">_xlfn.LET(_xlpm.rad,$FO98+1,_xlpm.typ,INDEX($E$20:$E$68,_xlpm.rad),_xlpm.kod,INDEX(AM$19:AM$68,_xlpm.rad),_xlpm.del,INDEX($F$19:$F$68,_xlpm.rad),IFERROR(IF(AND(_xlpm.typ="H",_xlpm.kod&lt;&gt;"",_xlpm.del&lt;&gt;"Hybrid - Thrust + 2 connections"),INDEX(Hyb_Tech,MATCH(_xlpm.kod,Hyb_Code,0)),GU$72),GU$72))</f>
        <v>30</v>
      </c>
    </row>
    <row r="100" spans="7:203" x14ac:dyDescent="0.35">
      <c r="G100" s="116"/>
      <c r="H100" s="117"/>
      <c r="I100" s="119" t="s">
        <v>1769</v>
      </c>
      <c r="J100" s="12" t="s">
        <v>1770</v>
      </c>
      <c r="EO100" s="88"/>
      <c r="EP100" s="88"/>
      <c r="EQ100" s="88"/>
      <c r="ER100" s="88"/>
      <c r="ES100" s="88"/>
      <c r="ET100" s="88"/>
      <c r="EU100" s="88"/>
      <c r="EV100" s="88"/>
      <c r="EW100" s="88"/>
      <c r="EX100" s="88"/>
      <c r="EY100" s="88"/>
      <c r="EZ100" s="88"/>
      <c r="FA100" s="88"/>
      <c r="FB100" s="88"/>
      <c r="FC100" s="88"/>
      <c r="FD100" s="88"/>
      <c r="FE100" s="88"/>
      <c r="FF100" s="88"/>
      <c r="FG100" s="88"/>
      <c r="FH100" s="88"/>
      <c r="FI100" s="88"/>
      <c r="FJ100" s="88"/>
      <c r="FK100" s="88"/>
      <c r="FL100" s="88"/>
      <c r="FM100" s="88"/>
      <c r="FN100" s="88"/>
      <c r="FP100" s="91" t="str" cm="1">
        <f t="array" ref="FP100">IFERROR(IF($T$5="",IF(COUNTIF(FR100:GU100,1)&gt;$FP$18,INDEX($FR$73:$GU$170,$FO98*5/2+1,MATCH(1,FR100:GU100,0)),""),IF(SUM(FR100:GU100)&gt;2,INDEX($FR$73:$GU$170,$FO98*5/2+1,MATCH(1,FR100:GU100,0)),"")),"")</f>
        <v/>
      </c>
      <c r="FQ100" s="88" t="str" cm="1">
        <f t="array" ref="FQ100">IFERROR(IF(LEFT(FP100,1)="C",IF(RIGHT(FP100,1)="+",LEFT(FP100,LEN(FP100)-1),CONCATENATE(FP100,"+")),IF(SUM($FR100:$GU100)&gt;$FP$18,INDEX($FR$73:$GU$170,$FO98*5/2+1,MATCH(0.5,FR100:GU100,0)),"")),"")</f>
        <v/>
      </c>
      <c r="FR100" s="88" t="str">
        <f t="shared" ref="FR100:GU100" si="3173">IF(AND($BV$6="D",LEFT(FR98,1)="C"),IF(COUNTIF($FR99:$GU99,FR99)&gt;$FP$18,INDEX(Hyb_Tech_Value,MATCH(FR98,Hyb_Code,0)),""),IF(COUNTIF($FR99:$GU99,FR99)&gt;$FP$18,INDEX(Hyb_Tech_Value,MATCH(FR98,Hyb_Code,0)),""))</f>
        <v/>
      </c>
      <c r="FS100" s="88" t="str">
        <f t="shared" si="3173"/>
        <v/>
      </c>
      <c r="FT100" s="88" t="str">
        <f t="shared" si="3173"/>
        <v/>
      </c>
      <c r="FU100" s="88" t="str">
        <f t="shared" si="3173"/>
        <v/>
      </c>
      <c r="FV100" s="88" t="str">
        <f t="shared" si="3173"/>
        <v/>
      </c>
      <c r="FW100" s="88" t="str">
        <f t="shared" si="3173"/>
        <v/>
      </c>
      <c r="FX100" s="88" t="str">
        <f t="shared" si="3173"/>
        <v/>
      </c>
      <c r="FY100" s="88" t="str">
        <f t="shared" si="3173"/>
        <v/>
      </c>
      <c r="FZ100" s="88" t="str">
        <f t="shared" si="3173"/>
        <v/>
      </c>
      <c r="GA100" s="88" t="str">
        <f t="shared" si="3173"/>
        <v/>
      </c>
      <c r="GB100" s="88" t="str">
        <f t="shared" si="3173"/>
        <v/>
      </c>
      <c r="GC100" s="88" t="str">
        <f t="shared" si="3173"/>
        <v/>
      </c>
      <c r="GD100" s="88" t="str">
        <f t="shared" si="3173"/>
        <v/>
      </c>
      <c r="GE100" s="88" t="str">
        <f t="shared" si="3173"/>
        <v/>
      </c>
      <c r="GF100" s="88" t="str">
        <f t="shared" si="3173"/>
        <v/>
      </c>
      <c r="GG100" s="88" t="str">
        <f t="shared" si="3173"/>
        <v/>
      </c>
      <c r="GH100" s="88" t="str">
        <f t="shared" si="3173"/>
        <v/>
      </c>
      <c r="GI100" s="88" t="str">
        <f t="shared" si="3173"/>
        <v/>
      </c>
      <c r="GJ100" s="88" t="str">
        <f t="shared" si="3173"/>
        <v/>
      </c>
      <c r="GK100" s="88" t="str">
        <f t="shared" si="3173"/>
        <v/>
      </c>
      <c r="GL100" s="88" t="str">
        <f t="shared" si="3173"/>
        <v/>
      </c>
      <c r="GM100" s="88" t="str">
        <f t="shared" si="3173"/>
        <v/>
      </c>
      <c r="GN100" s="88" t="str">
        <f t="shared" si="3173"/>
        <v/>
      </c>
      <c r="GO100" s="88" t="str">
        <f t="shared" si="3173"/>
        <v/>
      </c>
      <c r="GP100" s="88" t="str">
        <f t="shared" si="3173"/>
        <v/>
      </c>
      <c r="GQ100" s="88" t="str">
        <f t="shared" si="3173"/>
        <v/>
      </c>
      <c r="GR100" s="88" t="str">
        <f t="shared" si="3173"/>
        <v/>
      </c>
      <c r="GS100" s="88" t="str">
        <f t="shared" si="3173"/>
        <v/>
      </c>
      <c r="GT100" s="88" t="str">
        <f t="shared" si="3173"/>
        <v/>
      </c>
      <c r="GU100" s="88" t="str">
        <f t="shared" si="3173"/>
        <v/>
      </c>
    </row>
    <row r="101" spans="7:203" x14ac:dyDescent="0.35">
      <c r="G101" s="116">
        <v>45594</v>
      </c>
      <c r="H101" s="117"/>
      <c r="I101" s="119" t="s">
        <v>1958</v>
      </c>
      <c r="J101" s="12" t="s">
        <v>1960</v>
      </c>
      <c r="EG101" s="88">
        <f t="shared" ref="EG101" si="3174">COUNTIF(EK101:FN101,0.3)</f>
        <v>0</v>
      </c>
      <c r="EH101" s="88">
        <f t="shared" ref="EH101" si="3175">COUNTIF(EK101:FN101,0.5)</f>
        <v>0</v>
      </c>
      <c r="EI101" s="88" t="str">
        <f t="shared" ref="EI101" si="3176">IF(AND(T33="",OR(EG101&gt;5,EH101&gt;5)),"X",IF(SUM(EK101:FN101)&gt;5,"X",""))</f>
        <v/>
      </c>
      <c r="EK101" s="88" t="str">
        <f t="shared" ref="EK101" si="3177">IF($T$5="",IF(RIGHT(J47,4)="*0,5",0.5,IF(RIGHT(J47,4)="*0,3",0.3,IF(EK48&lt;&gt;"",1,""))),IF(EK48&lt;&gt;"",IF(OR(RIGHT(J47,4)="*0,5",RIGHT(J47,4)="*0,3"),0.5,1),""))</f>
        <v/>
      </c>
      <c r="EL101" s="88" t="str">
        <f t="shared" ref="EL101" si="3178">IF($T$5="",IF(RIGHT(K47,4)="*0,5",0.5,IF(RIGHT(K47,4)="*0,3",0.3,IF(EL48&lt;&gt;"",1,""))),IF(EL48&lt;&gt;"",IF(OR(RIGHT(K47,4)="*0,5",RIGHT(K47,4)="*0,3"),0.5,1),""))</f>
        <v/>
      </c>
      <c r="EM101" s="88" t="str">
        <f t="shared" ref="EM101" si="3179">IF($T$5="",IF(RIGHT(L47,4)="*0,5",0.5,IF(RIGHT(L47,4)="*0,3",0.3,IF(EM48&lt;&gt;"",1,""))),IF(EM48&lt;&gt;"",IF(OR(RIGHT(L47,4)="*0,5",RIGHT(L47,4)="*0,3"),0.5,1),""))</f>
        <v/>
      </c>
      <c r="EN101" s="88" t="str">
        <f t="shared" ref="EN101" si="3180">IF($T$5="",IF(RIGHT(M47,4)="*0,5",0.5,IF(RIGHT(M47,4)="*0,3",0.3,IF(EN48&lt;&gt;"",1,""))),IF(EN48&lt;&gt;"",IF(OR(RIGHT(M47,4)="*0,5",RIGHT(M47,4)="*0,3"),0.5,1),""))</f>
        <v/>
      </c>
      <c r="EO101" s="88" t="str">
        <f t="shared" ref="EO101" si="3181">IF($T$5="",IF(RIGHT(N47,4)="*0,5",0.5,IF(RIGHT(N47,4)="*0,3",0.3,IF(EO48&lt;&gt;"",1,""))),IF(EO48&lt;&gt;"",IF(OR(RIGHT(N47,4)="*0,5",RIGHT(N47,4)="*0,3"),0.5,1),""))</f>
        <v/>
      </c>
      <c r="EP101" s="88" t="str">
        <f t="shared" ref="EP101" si="3182">IF($T$5="",IF(RIGHT(O47,4)="*0,5",0.5,IF(RIGHT(O47,4)="*0,3",0.3,IF(EP48&lt;&gt;"",1,""))),IF(EP48&lt;&gt;"",IF(OR(RIGHT(O47,4)="*0,5",RIGHT(O47,4)="*0,3"),0.5,1),""))</f>
        <v/>
      </c>
      <c r="EQ101" s="88" t="str">
        <f t="shared" ref="EQ101" si="3183">IF($T$5="",IF(RIGHT(P47,4)="*0,5",0.5,IF(RIGHT(P47,4)="*0,3",0.3,IF(EQ48&lt;&gt;"",1,""))),IF(EQ48&lt;&gt;"",IF(OR(RIGHT(P47,4)="*0,5",RIGHT(P47,4)="*0,3"),0.5,1),""))</f>
        <v/>
      </c>
      <c r="ER101" s="88" t="str">
        <f t="shared" ref="ER101" si="3184">IF($T$5="",IF(RIGHT(Q47,4)="*0,5",0.5,IF(RIGHT(Q47,4)="*0,3",0.3,IF(ER48&lt;&gt;"",1,""))),IF(ER48&lt;&gt;"",IF(OR(RIGHT(Q47,4)="*0,5",RIGHT(Q47,4)="*0,3"),0.5,1),""))</f>
        <v/>
      </c>
      <c r="ES101" s="88" t="str">
        <f t="shared" ref="ES101" si="3185">IF($T$5="",IF(RIGHT(R47,4)="*0,5",0.5,IF(RIGHT(R47,4)="*0,3",0.3,IF(ES48&lt;&gt;"",1,""))),IF(ES48&lt;&gt;"",IF(OR(RIGHT(R47,4)="*0,5",RIGHT(R47,4)="*0,3"),0.5,1),""))</f>
        <v/>
      </c>
      <c r="ET101" s="88" t="str">
        <f t="shared" ref="ET101" si="3186">IF($T$5="",IF(RIGHT(S47,4)="*0,5",0.5,IF(RIGHT(S47,4)="*0,3",0.3,IF(ET48&lt;&gt;"",1,""))),IF(ET48&lt;&gt;"",IF(OR(RIGHT(S47,4)="*0,5",RIGHT(S47,4)="*0,3"),0.5,1),""))</f>
        <v/>
      </c>
      <c r="EU101" s="88" t="str">
        <f t="shared" ref="EU101" si="3187">IF($T$5="",IF(RIGHT(T47,4)="*0,5",0.5,IF(RIGHT(T47,4)="*0,3",0.3,IF(EU48&lt;&gt;"",1,""))),IF(EU48&lt;&gt;"",IF(OR(RIGHT(T47,4)="*0,5",RIGHT(T47,4)="*0,3"),0.5,1),""))</f>
        <v/>
      </c>
      <c r="EV101" s="88" t="str">
        <f t="shared" ref="EV101" si="3188">IF($T$5="",IF(RIGHT(U47,4)="*0,5",0.5,IF(RIGHT(U47,4)="*0,3",0.3,IF(EV48&lt;&gt;"",1,""))),IF(EV48&lt;&gt;"",IF(OR(RIGHT(U47,4)="*0,5",RIGHT(U47,4)="*0,3"),0.5,1),""))</f>
        <v/>
      </c>
      <c r="EW101" s="88" t="str">
        <f t="shared" ref="EW101" si="3189">IF($T$5="",IF(RIGHT(V47,4)="*0,5",0.5,IF(RIGHT(V47,4)="*0,3",0.3,IF(EW48&lt;&gt;"",1,""))),IF(EW48&lt;&gt;"",IF(OR(RIGHT(V47,4)="*0,5",RIGHT(V47,4)="*0,3"),0.5,1),""))</f>
        <v/>
      </c>
      <c r="EX101" s="88" t="str">
        <f t="shared" ref="EX101" si="3190">IF($T$5="",IF(RIGHT(W47,4)="*0,5",0.5,IF(RIGHT(W47,4)="*0,3",0.3,IF(EX48&lt;&gt;"",1,""))),IF(EX48&lt;&gt;"",IF(OR(RIGHT(W47,4)="*0,5",RIGHT(W47,4)="*0,3"),0.5,1),""))</f>
        <v/>
      </c>
      <c r="EY101" s="88" t="str">
        <f t="shared" ref="EY101" si="3191">IF($T$5="",IF(RIGHT(X47,4)="*0,5",0.5,IF(RIGHT(X47,4)="*0,3",0.3,IF(EY48&lt;&gt;"",1,""))),IF(EY48&lt;&gt;"",IF(OR(RIGHT(X47,4)="*0,5",RIGHT(X47,4)="*0,3"),0.5,1),""))</f>
        <v/>
      </c>
      <c r="EZ101" s="88" t="str">
        <f t="shared" ref="EZ101" si="3192">IF($T$5="",IF(RIGHT(Y47,4)="*0,5",0.5,IF(RIGHT(Y47,4)="*0,3",0.3,IF(EZ48&lt;&gt;"",1,""))),IF(EZ48&lt;&gt;"",IF(OR(RIGHT(Y47,4)="*0,5",RIGHT(Y47,4)="*0,3"),0.5,1),""))</f>
        <v/>
      </c>
      <c r="FA101" s="88" t="str">
        <f t="shared" ref="FA101" si="3193">IF($T$5="",IF(RIGHT(Z47,4)="*0,5",0.5,IF(RIGHT(Z47,4)="*0,3",0.3,IF(FA48&lt;&gt;"",1,""))),IF(FA48&lt;&gt;"",IF(OR(RIGHT(Z47,4)="*0,5",RIGHT(Z47,4)="*0,3"),0.5,1),""))</f>
        <v/>
      </c>
      <c r="FB101" s="88" t="str">
        <f t="shared" ref="FB101" si="3194">IF($T$5="",IF(RIGHT(AA47,4)="*0,5",0.5,IF(RIGHT(AA47,4)="*0,3",0.3,IF(FB48&lt;&gt;"",1,""))),IF(FB48&lt;&gt;"",IF(OR(RIGHT(AA47,4)="*0,5",RIGHT(AA47,4)="*0,3"),0.5,1),""))</f>
        <v/>
      </c>
      <c r="FC101" s="88" t="str">
        <f t="shared" ref="FC101" si="3195">IF($T$5="",IF(RIGHT(AB47,4)="*0,5",0.5,IF(RIGHT(AB47,4)="*0,3",0.3,IF(FC48&lt;&gt;"",1,""))),IF(FC48&lt;&gt;"",IF(OR(RIGHT(AB47,4)="*0,5",RIGHT(AB47,4)="*0,3"),0.5,1),""))</f>
        <v/>
      </c>
      <c r="FD101" s="88" t="str">
        <f t="shared" ref="FD101" si="3196">IF($T$5="",IF(RIGHT(AC47,4)="*0,5",0.5,IF(RIGHT(AC47,4)="*0,3",0.3,IF(FD48&lt;&gt;"",1,""))),IF(FD48&lt;&gt;"",IF(OR(RIGHT(AC47,4)="*0,5",RIGHT(AC47,4)="*0,3"),0.5,1),""))</f>
        <v/>
      </c>
      <c r="FE101" s="88" t="str">
        <f t="shared" ref="FE101" si="3197">IF($T$5="",IF(RIGHT(AD47,4)="*0,5",0.5,IF(RIGHT(AD47,4)="*0,3",0.3,IF(FE48&lt;&gt;"",1,""))),IF(FE48&lt;&gt;"",IF(OR(RIGHT(AD47,4)="*0,5",RIGHT(AD47,4)="*0,3"),0.5,1),""))</f>
        <v/>
      </c>
      <c r="FF101" s="88" t="str">
        <f t="shared" ref="FF101" si="3198">IF($T$5="",IF(RIGHT(AE47,4)="*0,5",0.5,IF(RIGHT(AE47,4)="*0,3",0.3,IF(FF48&lt;&gt;"",1,""))),IF(FF48&lt;&gt;"",IF(OR(RIGHT(AE47,4)="*0,5",RIGHT(AE47,4)="*0,3"),0.5,1),""))</f>
        <v/>
      </c>
      <c r="FG101" s="88" t="str">
        <f t="shared" ref="FG101" si="3199">IF($T$5="",IF(RIGHT(AF47,4)="*0,5",0.5,IF(RIGHT(AF47,4)="*0,3",0.3,IF(FG48&lt;&gt;"",1,""))),IF(FG48&lt;&gt;"",IF(OR(RIGHT(AF47,4)="*0,5",RIGHT(AF47,4)="*0,3"),0.5,1),""))</f>
        <v/>
      </c>
      <c r="FH101" s="88" t="str">
        <f t="shared" ref="FH101" si="3200">IF($T$5="",IF(RIGHT(AG47,4)="*0,5",0.5,IF(RIGHT(AG47,4)="*0,3",0.3,IF(FH48&lt;&gt;"",1,""))),IF(FH48&lt;&gt;"",IF(OR(RIGHT(AG47,4)="*0,5",RIGHT(AG47,4)="*0,3"),0.5,1),""))</f>
        <v/>
      </c>
      <c r="FI101" s="88" t="str">
        <f t="shared" ref="FI101" si="3201">IF($T$5="",IF(RIGHT(AH47,4)="*0,5",0.5,IF(RIGHT(AH47,4)="*0,3",0.3,IF(FI48&lt;&gt;"",1,""))),IF(FI48&lt;&gt;"",IF(OR(RIGHT(AH47,4)="*0,5",RIGHT(AH47,4)="*0,3"),0.5,1),""))</f>
        <v/>
      </c>
      <c r="FJ101" s="88" t="str">
        <f t="shared" ref="FJ101" si="3202">IF($T$5="",IF(RIGHT(AI47,4)="*0,5",0.5,IF(RIGHT(AI47,4)="*0,3",0.3,IF(FJ48&lt;&gt;"",1,""))),IF(FJ48&lt;&gt;"",IF(OR(RIGHT(AI47,4)="*0,5",RIGHT(AI47,4)="*0,3"),0.5,1),""))</f>
        <v/>
      </c>
      <c r="FK101" s="88" t="str">
        <f t="shared" ref="FK101" si="3203">IF($T$5="",IF(RIGHT(AJ47,4)="*0,5",0.5,IF(RIGHT(AJ47,4)="*0,3",0.3,IF(FK48&lt;&gt;"",1,""))),IF(FK48&lt;&gt;"",IF(OR(RIGHT(AJ47,4)="*0,5",RIGHT(AJ47,4)="*0,3"),0.5,1),""))</f>
        <v/>
      </c>
      <c r="FL101" s="88" t="str">
        <f t="shared" ref="FL101" si="3204">IF($T$5="",IF(RIGHT(AK47,4)="*0,5",0.5,IF(RIGHT(AK47,4)="*0,3",0.3,IF(FL48&lt;&gt;"",1,""))),IF(FL48&lt;&gt;"",IF(OR(RIGHT(AK47,4)="*0,5",RIGHT(AK47,4)="*0,3"),0.5,1),""))</f>
        <v/>
      </c>
      <c r="FM101" s="88" t="str">
        <f t="shared" ref="FM101" si="3205">IF($T$5="",IF(RIGHT(AL47,4)="*0,5",0.5,IF(RIGHT(AL47,4)="*0,3",0.3,IF(FM48&lt;&gt;"",1,""))),IF(FM48&lt;&gt;"",IF(OR(RIGHT(AL47,4)="*0,5",RIGHT(AL47,4)="*0,3"),0.5,1),""))</f>
        <v/>
      </c>
      <c r="FN101" s="88" t="str">
        <f t="shared" ref="FN101" si="3206">IF($T$5="",IF(RIGHT(AM47,4)="*0,5",0.5,IF(RIGHT(AM47,4)="*0,3",0.3,IF(FN48&lt;&gt;"",1,""))),IF(FN48&lt;&gt;"",IF(OR(RIGHT(AM47,4)="*0,5",RIGHT(AM47,4)="*0,3"),0.5,1),""))</f>
        <v/>
      </c>
      <c r="FQ101" s="88"/>
      <c r="FR101" s="88" t="str">
        <f t="shared" ref="FR101:GU101" si="3207">IFERROR(IF(LEFT(FR98,FIND("*",FR98)-1)=LEFT($FQ$73,FIND("*",$FQ$73)-1),0.5,""),"")</f>
        <v/>
      </c>
      <c r="FS101" s="88" t="str">
        <f t="shared" si="3207"/>
        <v/>
      </c>
      <c r="FT101" s="88" t="str">
        <f t="shared" si="3207"/>
        <v/>
      </c>
      <c r="FU101" s="88" t="str">
        <f t="shared" si="3207"/>
        <v/>
      </c>
      <c r="FV101" s="88" t="str">
        <f t="shared" si="3207"/>
        <v/>
      </c>
      <c r="FW101" s="88" t="str">
        <f t="shared" si="3207"/>
        <v/>
      </c>
      <c r="FX101" s="88" t="str">
        <f t="shared" si="3207"/>
        <v/>
      </c>
      <c r="FY101" s="88" t="str">
        <f t="shared" si="3207"/>
        <v/>
      </c>
      <c r="FZ101" s="88" t="str">
        <f t="shared" si="3207"/>
        <v/>
      </c>
      <c r="GA101" s="88" t="str">
        <f t="shared" si="3207"/>
        <v/>
      </c>
      <c r="GB101" s="88" t="str">
        <f t="shared" si="3207"/>
        <v/>
      </c>
      <c r="GC101" s="88" t="str">
        <f t="shared" si="3207"/>
        <v/>
      </c>
      <c r="GD101" s="88" t="str">
        <f t="shared" si="3207"/>
        <v/>
      </c>
      <c r="GE101" s="88" t="str">
        <f t="shared" si="3207"/>
        <v/>
      </c>
      <c r="GF101" s="88" t="str">
        <f t="shared" si="3207"/>
        <v/>
      </c>
      <c r="GG101" s="88" t="str">
        <f t="shared" si="3207"/>
        <v/>
      </c>
      <c r="GH101" s="88" t="str">
        <f t="shared" si="3207"/>
        <v/>
      </c>
      <c r="GI101" s="88" t="str">
        <f t="shared" si="3207"/>
        <v/>
      </c>
      <c r="GJ101" s="88" t="str">
        <f t="shared" si="3207"/>
        <v/>
      </c>
      <c r="GK101" s="88" t="str">
        <f t="shared" si="3207"/>
        <v/>
      </c>
      <c r="GL101" s="88" t="str">
        <f t="shared" si="3207"/>
        <v/>
      </c>
      <c r="GM101" s="88" t="str">
        <f t="shared" si="3207"/>
        <v/>
      </c>
      <c r="GN101" s="88" t="str">
        <f t="shared" si="3207"/>
        <v/>
      </c>
      <c r="GO101" s="88" t="str">
        <f t="shared" si="3207"/>
        <v/>
      </c>
      <c r="GP101" s="88" t="str">
        <f t="shared" si="3207"/>
        <v/>
      </c>
      <c r="GQ101" s="88" t="str">
        <f t="shared" si="3207"/>
        <v/>
      </c>
      <c r="GR101" s="88" t="str">
        <f t="shared" si="3207"/>
        <v/>
      </c>
      <c r="GS101" s="88" t="str">
        <f t="shared" si="3207"/>
        <v/>
      </c>
      <c r="GT101" s="88" t="str">
        <f t="shared" si="3207"/>
        <v/>
      </c>
      <c r="GU101" s="88" t="str">
        <f t="shared" si="3207"/>
        <v/>
      </c>
    </row>
    <row r="102" spans="7:203" x14ac:dyDescent="0.35">
      <c r="G102" s="116">
        <v>45601</v>
      </c>
      <c r="H102" s="116"/>
      <c r="I102" s="119" t="s">
        <v>1961</v>
      </c>
      <c r="J102" s="12" t="s">
        <v>1962</v>
      </c>
      <c r="EO102" s="88"/>
      <c r="EP102" s="88"/>
      <c r="EQ102" s="88"/>
      <c r="ER102" s="88"/>
      <c r="ES102" s="88"/>
      <c r="ET102" s="88"/>
      <c r="EU102" s="88"/>
      <c r="EV102" s="88"/>
      <c r="EW102" s="88"/>
      <c r="EX102" s="88"/>
      <c r="EY102" s="88"/>
      <c r="EZ102" s="88"/>
      <c r="FA102" s="88"/>
      <c r="FB102" s="88"/>
      <c r="FC102" s="88"/>
      <c r="FD102" s="88"/>
      <c r="FE102" s="88"/>
      <c r="FF102" s="88"/>
      <c r="FG102" s="88"/>
      <c r="FH102" s="88"/>
      <c r="FI102" s="88"/>
      <c r="FJ102" s="88"/>
      <c r="FK102" s="88"/>
      <c r="FL102" s="88"/>
      <c r="FM102" s="88"/>
      <c r="FN102" s="88"/>
      <c r="FQ102" s="88"/>
      <c r="FR102" s="88"/>
      <c r="FS102" s="88"/>
      <c r="FT102" s="88"/>
      <c r="FU102" s="88"/>
      <c r="FV102" s="88"/>
      <c r="FW102" s="88"/>
      <c r="FX102" s="88"/>
      <c r="FY102" s="88"/>
      <c r="FZ102" s="88"/>
      <c r="GA102" s="88"/>
      <c r="GB102" s="88"/>
      <c r="GC102" s="88"/>
      <c r="GD102" s="88"/>
      <c r="GE102" s="88"/>
      <c r="GF102" s="88"/>
      <c r="GG102" s="88"/>
      <c r="GH102" s="88"/>
      <c r="GI102" s="88"/>
      <c r="GJ102" s="88"/>
      <c r="GK102" s="88"/>
      <c r="GL102" s="88"/>
      <c r="GM102" s="88"/>
      <c r="GN102" s="88"/>
      <c r="GO102" s="88"/>
      <c r="GP102" s="88"/>
      <c r="GQ102" s="88"/>
      <c r="GR102" s="88"/>
      <c r="GS102" s="88"/>
      <c r="GT102" s="88"/>
      <c r="GU102" s="88"/>
    </row>
    <row r="103" spans="7:203" x14ac:dyDescent="0.35">
      <c r="G103" s="116">
        <v>45602</v>
      </c>
      <c r="H103" s="117"/>
      <c r="I103" s="119" t="s">
        <v>1966</v>
      </c>
      <c r="J103" s="12" t="s">
        <v>1967</v>
      </c>
      <c r="EG103" s="88">
        <f t="shared" ref="EG103" si="3208">COUNTIF(EK103:FN103,0.3)</f>
        <v>0</v>
      </c>
      <c r="EH103" s="88">
        <f t="shared" ref="EH103" si="3209">COUNTIF(EK103:FN103,0.5)</f>
        <v>0</v>
      </c>
      <c r="EI103" s="88" t="str">
        <f t="shared" ref="EI103" si="3210">IF(AND(T35="",OR(EG103&gt;5,EH103&gt;5)),"X",IF(SUM(EK103:FN103)&gt;5,"X",""))</f>
        <v/>
      </c>
      <c r="EK103" s="88" t="str">
        <f t="shared" ref="EK103" si="3211">IF($T$5="",IF(RIGHT(J49,4)="*0,5",0.5,IF(RIGHT(J49,4)="*0,3",0.3,IF(EK50&lt;&gt;"",1,""))),IF(EK50&lt;&gt;"",IF(OR(RIGHT(J49,4)="*0,5",RIGHT(J49,4)="*0,3"),0.5,1),""))</f>
        <v/>
      </c>
      <c r="EL103" s="88" t="str">
        <f t="shared" ref="EL103" si="3212">IF($T$5="",IF(RIGHT(K49,4)="*0,5",0.5,IF(RIGHT(K49,4)="*0,3",0.3,IF(EL50&lt;&gt;"",1,""))),IF(EL50&lt;&gt;"",IF(OR(RIGHT(K49,4)="*0,5",RIGHT(K49,4)="*0,3"),0.5,1),""))</f>
        <v/>
      </c>
      <c r="EM103" s="88" t="str">
        <f t="shared" ref="EM103" si="3213">IF($T$5="",IF(RIGHT(L49,4)="*0,5",0.5,IF(RIGHT(L49,4)="*0,3",0.3,IF(EM50&lt;&gt;"",1,""))),IF(EM50&lt;&gt;"",IF(OR(RIGHT(L49,4)="*0,5",RIGHT(L49,4)="*0,3"),0.5,1),""))</f>
        <v/>
      </c>
      <c r="EN103" s="88" t="str">
        <f t="shared" ref="EN103" si="3214">IF($T$5="",IF(RIGHT(M49,4)="*0,5",0.5,IF(RIGHT(M49,4)="*0,3",0.3,IF(EN50&lt;&gt;"",1,""))),IF(EN50&lt;&gt;"",IF(OR(RIGHT(M49,4)="*0,5",RIGHT(M49,4)="*0,3"),0.5,1),""))</f>
        <v/>
      </c>
      <c r="EO103" s="88" t="str">
        <f t="shared" ref="EO103" si="3215">IF($T$5="",IF(RIGHT(N49,4)="*0,5",0.5,IF(RIGHT(N49,4)="*0,3",0.3,IF(EO50&lt;&gt;"",1,""))),IF(EO50&lt;&gt;"",IF(OR(RIGHT(N49,4)="*0,5",RIGHT(N49,4)="*0,3"),0.5,1),""))</f>
        <v/>
      </c>
      <c r="EP103" s="88" t="str">
        <f t="shared" ref="EP103" si="3216">IF($T$5="",IF(RIGHT(O49,4)="*0,5",0.5,IF(RIGHT(O49,4)="*0,3",0.3,IF(EP50&lt;&gt;"",1,""))),IF(EP50&lt;&gt;"",IF(OR(RIGHT(O49,4)="*0,5",RIGHT(O49,4)="*0,3"),0.5,1),""))</f>
        <v/>
      </c>
      <c r="EQ103" s="88" t="str">
        <f t="shared" ref="EQ103" si="3217">IF($T$5="",IF(RIGHT(P49,4)="*0,5",0.5,IF(RIGHT(P49,4)="*0,3",0.3,IF(EQ50&lt;&gt;"",1,""))),IF(EQ50&lt;&gt;"",IF(OR(RIGHT(P49,4)="*0,5",RIGHT(P49,4)="*0,3"),0.5,1),""))</f>
        <v/>
      </c>
      <c r="ER103" s="88" t="str">
        <f t="shared" ref="ER103" si="3218">IF($T$5="",IF(RIGHT(Q49,4)="*0,5",0.5,IF(RIGHT(Q49,4)="*0,3",0.3,IF(ER50&lt;&gt;"",1,""))),IF(ER50&lt;&gt;"",IF(OR(RIGHT(Q49,4)="*0,5",RIGHT(Q49,4)="*0,3"),0.5,1),""))</f>
        <v/>
      </c>
      <c r="ES103" s="88" t="str">
        <f t="shared" ref="ES103" si="3219">IF($T$5="",IF(RIGHT(R49,4)="*0,5",0.5,IF(RIGHT(R49,4)="*0,3",0.3,IF(ES50&lt;&gt;"",1,""))),IF(ES50&lt;&gt;"",IF(OR(RIGHT(R49,4)="*0,5",RIGHT(R49,4)="*0,3"),0.5,1),""))</f>
        <v/>
      </c>
      <c r="ET103" s="88" t="str">
        <f t="shared" ref="ET103" si="3220">IF($T$5="",IF(RIGHT(S49,4)="*0,5",0.5,IF(RIGHT(S49,4)="*0,3",0.3,IF(ET50&lt;&gt;"",1,""))),IF(ET50&lt;&gt;"",IF(OR(RIGHT(S49,4)="*0,5",RIGHT(S49,4)="*0,3"),0.5,1),""))</f>
        <v/>
      </c>
      <c r="EU103" s="88" t="str">
        <f t="shared" ref="EU103" si="3221">IF($T$5="",IF(RIGHT(T49,4)="*0,5",0.5,IF(RIGHT(T49,4)="*0,3",0.3,IF(EU50&lt;&gt;"",1,""))),IF(EU50&lt;&gt;"",IF(OR(RIGHT(T49,4)="*0,5",RIGHT(T49,4)="*0,3"),0.5,1),""))</f>
        <v/>
      </c>
      <c r="EV103" s="88" t="str">
        <f t="shared" ref="EV103" si="3222">IF($T$5="",IF(RIGHT(U49,4)="*0,5",0.5,IF(RIGHT(U49,4)="*0,3",0.3,IF(EV50&lt;&gt;"",1,""))),IF(EV50&lt;&gt;"",IF(OR(RIGHT(U49,4)="*0,5",RIGHT(U49,4)="*0,3"),0.5,1),""))</f>
        <v/>
      </c>
      <c r="EW103" s="88" t="str">
        <f t="shared" ref="EW103" si="3223">IF($T$5="",IF(RIGHT(V49,4)="*0,5",0.5,IF(RIGHT(V49,4)="*0,3",0.3,IF(EW50&lt;&gt;"",1,""))),IF(EW50&lt;&gt;"",IF(OR(RIGHT(V49,4)="*0,5",RIGHT(V49,4)="*0,3"),0.5,1),""))</f>
        <v/>
      </c>
      <c r="EX103" s="88" t="str">
        <f t="shared" ref="EX103" si="3224">IF($T$5="",IF(RIGHT(W49,4)="*0,5",0.5,IF(RIGHT(W49,4)="*0,3",0.3,IF(EX50&lt;&gt;"",1,""))),IF(EX50&lt;&gt;"",IF(OR(RIGHT(W49,4)="*0,5",RIGHT(W49,4)="*0,3"),0.5,1),""))</f>
        <v/>
      </c>
      <c r="EY103" s="88" t="str">
        <f t="shared" ref="EY103" si="3225">IF($T$5="",IF(RIGHT(X49,4)="*0,5",0.5,IF(RIGHT(X49,4)="*0,3",0.3,IF(EY50&lt;&gt;"",1,""))),IF(EY50&lt;&gt;"",IF(OR(RIGHT(X49,4)="*0,5",RIGHT(X49,4)="*0,3"),0.5,1),""))</f>
        <v/>
      </c>
      <c r="EZ103" s="88" t="str">
        <f t="shared" ref="EZ103" si="3226">IF($T$5="",IF(RIGHT(Y49,4)="*0,5",0.5,IF(RIGHT(Y49,4)="*0,3",0.3,IF(EZ50&lt;&gt;"",1,""))),IF(EZ50&lt;&gt;"",IF(OR(RIGHT(Y49,4)="*0,5",RIGHT(Y49,4)="*0,3"),0.5,1),""))</f>
        <v/>
      </c>
      <c r="FA103" s="88" t="str">
        <f t="shared" ref="FA103" si="3227">IF($T$5="",IF(RIGHT(Z49,4)="*0,5",0.5,IF(RIGHT(Z49,4)="*0,3",0.3,IF(FA50&lt;&gt;"",1,""))),IF(FA50&lt;&gt;"",IF(OR(RIGHT(Z49,4)="*0,5",RIGHT(Z49,4)="*0,3"),0.5,1),""))</f>
        <v/>
      </c>
      <c r="FB103" s="88" t="str">
        <f t="shared" ref="FB103" si="3228">IF($T$5="",IF(RIGHT(AA49,4)="*0,5",0.5,IF(RIGHT(AA49,4)="*0,3",0.3,IF(FB50&lt;&gt;"",1,""))),IF(FB50&lt;&gt;"",IF(OR(RIGHT(AA49,4)="*0,5",RIGHT(AA49,4)="*0,3"),0.5,1),""))</f>
        <v/>
      </c>
      <c r="FC103" s="88" t="str">
        <f t="shared" ref="FC103" si="3229">IF($T$5="",IF(RIGHT(AB49,4)="*0,5",0.5,IF(RIGHT(AB49,4)="*0,3",0.3,IF(FC50&lt;&gt;"",1,""))),IF(FC50&lt;&gt;"",IF(OR(RIGHT(AB49,4)="*0,5",RIGHT(AB49,4)="*0,3"),0.5,1),""))</f>
        <v/>
      </c>
      <c r="FD103" s="88" t="str">
        <f t="shared" ref="FD103" si="3230">IF($T$5="",IF(RIGHT(AC49,4)="*0,5",0.5,IF(RIGHT(AC49,4)="*0,3",0.3,IF(FD50&lt;&gt;"",1,""))),IF(FD50&lt;&gt;"",IF(OR(RIGHT(AC49,4)="*0,5",RIGHT(AC49,4)="*0,3"),0.5,1),""))</f>
        <v/>
      </c>
      <c r="FE103" s="88" t="str">
        <f t="shared" ref="FE103" si="3231">IF($T$5="",IF(RIGHT(AD49,4)="*0,5",0.5,IF(RIGHT(AD49,4)="*0,3",0.3,IF(FE50&lt;&gt;"",1,""))),IF(FE50&lt;&gt;"",IF(OR(RIGHT(AD49,4)="*0,5",RIGHT(AD49,4)="*0,3"),0.5,1),""))</f>
        <v/>
      </c>
      <c r="FF103" s="88" t="str">
        <f t="shared" ref="FF103" si="3232">IF($T$5="",IF(RIGHT(AE49,4)="*0,5",0.5,IF(RIGHT(AE49,4)="*0,3",0.3,IF(FF50&lt;&gt;"",1,""))),IF(FF50&lt;&gt;"",IF(OR(RIGHT(AE49,4)="*0,5",RIGHT(AE49,4)="*0,3"),0.5,1),""))</f>
        <v/>
      </c>
      <c r="FG103" s="88" t="str">
        <f t="shared" ref="FG103" si="3233">IF($T$5="",IF(RIGHT(AF49,4)="*0,5",0.5,IF(RIGHT(AF49,4)="*0,3",0.3,IF(FG50&lt;&gt;"",1,""))),IF(FG50&lt;&gt;"",IF(OR(RIGHT(AF49,4)="*0,5",RIGHT(AF49,4)="*0,3"),0.5,1),""))</f>
        <v/>
      </c>
      <c r="FH103" s="88" t="str">
        <f t="shared" ref="FH103" si="3234">IF($T$5="",IF(RIGHT(AG49,4)="*0,5",0.5,IF(RIGHT(AG49,4)="*0,3",0.3,IF(FH50&lt;&gt;"",1,""))),IF(FH50&lt;&gt;"",IF(OR(RIGHT(AG49,4)="*0,5",RIGHT(AG49,4)="*0,3"),0.5,1),""))</f>
        <v/>
      </c>
      <c r="FI103" s="88" t="str">
        <f t="shared" ref="FI103" si="3235">IF($T$5="",IF(RIGHT(AH49,4)="*0,5",0.5,IF(RIGHT(AH49,4)="*0,3",0.3,IF(FI50&lt;&gt;"",1,""))),IF(FI50&lt;&gt;"",IF(OR(RIGHT(AH49,4)="*0,5",RIGHT(AH49,4)="*0,3"),0.5,1),""))</f>
        <v/>
      </c>
      <c r="FJ103" s="88" t="str">
        <f t="shared" ref="FJ103" si="3236">IF($T$5="",IF(RIGHT(AI49,4)="*0,5",0.5,IF(RIGHT(AI49,4)="*0,3",0.3,IF(FJ50&lt;&gt;"",1,""))),IF(FJ50&lt;&gt;"",IF(OR(RIGHT(AI49,4)="*0,5",RIGHT(AI49,4)="*0,3"),0.5,1),""))</f>
        <v/>
      </c>
      <c r="FK103" s="88" t="str">
        <f t="shared" ref="FK103" si="3237">IF($T$5="",IF(RIGHT(AJ49,4)="*0,5",0.5,IF(RIGHT(AJ49,4)="*0,3",0.3,IF(FK50&lt;&gt;"",1,""))),IF(FK50&lt;&gt;"",IF(OR(RIGHT(AJ49,4)="*0,5",RIGHT(AJ49,4)="*0,3"),0.5,1),""))</f>
        <v/>
      </c>
      <c r="FL103" s="88" t="str">
        <f t="shared" ref="FL103" si="3238">IF($T$5="",IF(RIGHT(AK49,4)="*0,5",0.5,IF(RIGHT(AK49,4)="*0,3",0.3,IF(FL50&lt;&gt;"",1,""))),IF(FL50&lt;&gt;"",IF(OR(RIGHT(AK49,4)="*0,5",RIGHT(AK49,4)="*0,3"),0.5,1),""))</f>
        <v/>
      </c>
      <c r="FM103" s="88" t="str">
        <f t="shared" ref="FM103" si="3239">IF($T$5="",IF(RIGHT(AL49,4)="*0,5",0.5,IF(RIGHT(AL49,4)="*0,3",0.3,IF(FM50&lt;&gt;"",1,""))),IF(FM50&lt;&gt;"",IF(OR(RIGHT(AL49,4)="*0,5",RIGHT(AL49,4)="*0,3"),0.5,1),""))</f>
        <v/>
      </c>
      <c r="FN103" s="88" t="str">
        <f t="shared" ref="FN103" si="3240">IF($T$5="",IF(RIGHT(AM49,4)="*0,5",0.5,IF(RIGHT(AM49,4)="*0,3",0.3,IF(FN50&lt;&gt;"",1,""))),IF(FN50&lt;&gt;"",IF(OR(RIGHT(AM49,4)="*0,5",RIGHT(AM49,4)="*0,3"),0.5,1),""))</f>
        <v/>
      </c>
      <c r="FO103" s="91">
        <v>12</v>
      </c>
      <c r="FP103" s="88" t="str">
        <f t="shared" ref="FP103" si="3241">IF(SUM(FR106:GU106)&gt;2,FQ103,"")</f>
        <v/>
      </c>
      <c r="FQ103" s="88" t="str" cm="1">
        <f t="array" ref="FQ103">IF(SUM(FR105:GU105)&gt;0,_xlfn.LET(_xlpm.area,FR103:GU103,_xlpm.texts,_xlfn.UNIQUE(_xlfn._xlws.FILTER(_xlpm.area,_xlpm.area&lt;&gt;"")),_xlpm.number,COUNTIF(_xlpm.area,_xlpm.texts),INDEX(_xlpm.texts,MATCH(MAX(_xlpm.number),_xlpm.number,0))),"")</f>
        <v/>
      </c>
      <c r="FR103" s="88" cm="1">
        <f t="array" ref="FR103">_xlfn.LET(_xlpm.rad,$FO103+1,_xlpm.typ,INDEX($E$20:$E$68,_xlpm.rad),_xlpm.kod,INDEX(J$19:J$68,_xlpm.rad),IFERROR(IF(AND(_xlpm.typ="H",_xlpm.kod&lt;&gt;""),UPPER(_xlpm.kod),FR$18),FR$18))</f>
        <v>1</v>
      </c>
      <c r="FS103" s="88" cm="1">
        <f t="array" ref="FS103">_xlfn.LET(_xlpm.rad,$FO103+1,_xlpm.typ,INDEX($E$20:$E$68,_xlpm.rad),_xlpm.kod,INDEX(K$19:K$68,_xlpm.rad),IFERROR(IF(AND(_xlpm.typ="H",_xlpm.kod&lt;&gt;""),UPPER(_xlpm.kod),FS$18),FS$18))</f>
        <v>2</v>
      </c>
      <c r="FT103" s="88" cm="1">
        <f t="array" ref="FT103">_xlfn.LET(_xlpm.rad,$FO103+1,_xlpm.typ,INDEX($E$20:$E$68,_xlpm.rad),_xlpm.kod,INDEX(L$19:L$68,_xlpm.rad),IFERROR(IF(AND(_xlpm.typ="H",_xlpm.kod&lt;&gt;""),UPPER(_xlpm.kod),FT$18),FT$18))</f>
        <v>3</v>
      </c>
      <c r="FU103" s="88" cm="1">
        <f t="array" ref="FU103">_xlfn.LET(_xlpm.rad,$FO103+1,_xlpm.typ,INDEX($E$20:$E$68,_xlpm.rad),_xlpm.kod,INDEX(M$19:M$68,_xlpm.rad),IFERROR(IF(AND(_xlpm.typ="H",_xlpm.kod&lt;&gt;""),UPPER(_xlpm.kod),FU$18),FU$18))</f>
        <v>4</v>
      </c>
      <c r="FV103" s="88" cm="1">
        <f t="array" ref="FV103">_xlfn.LET(_xlpm.rad,$FO103+1,_xlpm.typ,INDEX($E$20:$E$68,_xlpm.rad),_xlpm.kod,INDEX(N$19:N$68,_xlpm.rad),IFERROR(IF(AND(_xlpm.typ="H",_xlpm.kod&lt;&gt;""),UPPER(_xlpm.kod),FV$18),FV$18))</f>
        <v>5</v>
      </c>
      <c r="FW103" s="88" cm="1">
        <f t="array" ref="FW103">_xlfn.LET(_xlpm.rad,$FO103+1,_xlpm.typ,INDEX($E$20:$E$68,_xlpm.rad),_xlpm.kod,INDEX(O$19:O$68,_xlpm.rad),IFERROR(IF(AND(_xlpm.typ="H",_xlpm.kod&lt;&gt;""),UPPER(_xlpm.kod),FW$18),FW$18))</f>
        <v>6</v>
      </c>
      <c r="FX103" s="88" cm="1">
        <f t="array" ref="FX103">_xlfn.LET(_xlpm.rad,$FO103+1,_xlpm.typ,INDEX($E$20:$E$68,_xlpm.rad),_xlpm.kod,INDEX(P$19:P$68,_xlpm.rad),IFERROR(IF(AND(_xlpm.typ="H",_xlpm.kod&lt;&gt;""),UPPER(_xlpm.kod),FX$18),FX$18))</f>
        <v>7</v>
      </c>
      <c r="FY103" s="88" cm="1">
        <f t="array" ref="FY103">_xlfn.LET(_xlpm.rad,$FO103+1,_xlpm.typ,INDEX($E$20:$E$68,_xlpm.rad),_xlpm.kod,INDEX(Q$19:Q$68,_xlpm.rad),IFERROR(IF(AND(_xlpm.typ="H",_xlpm.kod&lt;&gt;""),UPPER(_xlpm.kod),FY$18),FY$18))</f>
        <v>8</v>
      </c>
      <c r="FZ103" s="88" cm="1">
        <f t="array" ref="FZ103">_xlfn.LET(_xlpm.rad,$FO103+1,_xlpm.typ,INDEX($E$20:$E$68,_xlpm.rad),_xlpm.kod,INDEX(R$19:R$68,_xlpm.rad),IFERROR(IF(AND(_xlpm.typ="H",_xlpm.kod&lt;&gt;""),UPPER(_xlpm.kod),FZ$18),FZ$18))</f>
        <v>9</v>
      </c>
      <c r="GA103" s="88" cm="1">
        <f t="array" ref="GA103">_xlfn.LET(_xlpm.rad,$FO103+1,_xlpm.typ,INDEX($E$20:$E$68,_xlpm.rad),_xlpm.kod,INDEX(S$19:S$68,_xlpm.rad),IFERROR(IF(AND(_xlpm.typ="H",_xlpm.kod&lt;&gt;""),UPPER(_xlpm.kod),GA$18),GA$18))</f>
        <v>10</v>
      </c>
      <c r="GB103" s="88" cm="1">
        <f t="array" ref="GB103">_xlfn.LET(_xlpm.rad,$FO103+1,_xlpm.typ,INDEX($E$20:$E$68,_xlpm.rad),_xlpm.kod,INDEX(T$19:T$68,_xlpm.rad),IFERROR(IF(AND(_xlpm.typ="H",_xlpm.kod&lt;&gt;""),UPPER(_xlpm.kod),GB$18),GB$18))</f>
        <v>11</v>
      </c>
      <c r="GC103" s="88" cm="1">
        <f t="array" ref="GC103">_xlfn.LET(_xlpm.rad,$FO103+1,_xlpm.typ,INDEX($E$20:$E$68,_xlpm.rad),_xlpm.kod,INDEX(U$19:U$68,_xlpm.rad),IFERROR(IF(AND(_xlpm.typ="H",_xlpm.kod&lt;&gt;""),UPPER(_xlpm.kod),GC$18),GC$18))</f>
        <v>12</v>
      </c>
      <c r="GD103" s="88" cm="1">
        <f t="array" ref="GD103">_xlfn.LET(_xlpm.rad,$FO103+1,_xlpm.typ,INDEX($E$20:$E$68,_xlpm.rad),_xlpm.kod,INDEX(V$19:V$68,_xlpm.rad),IFERROR(IF(AND(_xlpm.typ="H",_xlpm.kod&lt;&gt;""),UPPER(_xlpm.kod),GD$18),GD$18))</f>
        <v>13</v>
      </c>
      <c r="GE103" s="88" cm="1">
        <f t="array" ref="GE103">_xlfn.LET(_xlpm.rad,$FO103+1,_xlpm.typ,INDEX($E$20:$E$68,_xlpm.rad),_xlpm.kod,INDEX(W$19:W$68,_xlpm.rad),IFERROR(IF(AND(_xlpm.typ="H",_xlpm.kod&lt;&gt;""),UPPER(_xlpm.kod),GE$18),GE$18))</f>
        <v>14</v>
      </c>
      <c r="GF103" s="88" cm="1">
        <f t="array" ref="GF103">_xlfn.LET(_xlpm.rad,$FO103+1,_xlpm.typ,INDEX($E$20:$E$68,_xlpm.rad),_xlpm.kod,INDEX(X$19:X$68,_xlpm.rad),IFERROR(IF(AND(_xlpm.typ="H",_xlpm.kod&lt;&gt;""),UPPER(_xlpm.kod),GF$18),GF$18))</f>
        <v>15</v>
      </c>
      <c r="GG103" s="88" cm="1">
        <f t="array" ref="GG103">_xlfn.LET(_xlpm.rad,$FO103+1,_xlpm.typ,INDEX($E$20:$E$68,_xlpm.rad),_xlpm.kod,INDEX(Y$19:Y$68,_xlpm.rad),IFERROR(IF(AND(_xlpm.typ="H",_xlpm.kod&lt;&gt;""),UPPER(_xlpm.kod),GG$18),GG$18))</f>
        <v>16</v>
      </c>
      <c r="GH103" s="88" cm="1">
        <f t="array" ref="GH103">_xlfn.LET(_xlpm.rad,$FO103+1,_xlpm.typ,INDEX($E$20:$E$68,_xlpm.rad),_xlpm.kod,INDEX(Z$19:Z$68,_xlpm.rad),IFERROR(IF(AND(_xlpm.typ="H",_xlpm.kod&lt;&gt;""),UPPER(_xlpm.kod),GH$18),GH$18))</f>
        <v>17</v>
      </c>
      <c r="GI103" s="88" cm="1">
        <f t="array" ref="GI103">_xlfn.LET(_xlpm.rad,$FO103+1,_xlpm.typ,INDEX($E$20:$E$68,_xlpm.rad),_xlpm.kod,INDEX(AA$19:AA$68,_xlpm.rad),IFERROR(IF(AND(_xlpm.typ="H",_xlpm.kod&lt;&gt;""),UPPER(_xlpm.kod),GI$18),GI$18))</f>
        <v>18</v>
      </c>
      <c r="GJ103" s="88" cm="1">
        <f t="array" ref="GJ103">_xlfn.LET(_xlpm.rad,$FO103+1,_xlpm.typ,INDEX($E$20:$E$68,_xlpm.rad),_xlpm.kod,INDEX(AB$19:AB$68,_xlpm.rad),IFERROR(IF(AND(_xlpm.typ="H",_xlpm.kod&lt;&gt;""),UPPER(_xlpm.kod),GJ$18),GJ$18))</f>
        <v>19</v>
      </c>
      <c r="GK103" s="88" cm="1">
        <f t="array" ref="GK103">_xlfn.LET(_xlpm.rad,$FO103+1,_xlpm.typ,INDEX($E$20:$E$68,_xlpm.rad),_xlpm.kod,INDEX(AC$19:AC$68,_xlpm.rad),IFERROR(IF(AND(_xlpm.typ="H",_xlpm.kod&lt;&gt;""),UPPER(_xlpm.kod),GK$18),GK$18))</f>
        <v>20</v>
      </c>
      <c r="GL103" s="88" cm="1">
        <f t="array" ref="GL103">_xlfn.LET(_xlpm.rad,$FO103+1,_xlpm.typ,INDEX($E$20:$E$68,_xlpm.rad),_xlpm.kod,INDEX(AD$19:AD$68,_xlpm.rad),IFERROR(IF(AND(_xlpm.typ="H",_xlpm.kod&lt;&gt;""),UPPER(_xlpm.kod),GL$18),GL$18))</f>
        <v>21</v>
      </c>
      <c r="GM103" s="88" cm="1">
        <f t="array" ref="GM103">_xlfn.LET(_xlpm.rad,$FO103+1,_xlpm.typ,INDEX($E$20:$E$68,_xlpm.rad),_xlpm.kod,INDEX(AE$19:AE$68,_xlpm.rad),IFERROR(IF(AND(_xlpm.typ="H",_xlpm.kod&lt;&gt;""),UPPER(_xlpm.kod),GM$18),GM$18))</f>
        <v>22</v>
      </c>
      <c r="GN103" s="88" cm="1">
        <f t="array" ref="GN103">_xlfn.LET(_xlpm.rad,$FO103+1,_xlpm.typ,INDEX($E$20:$E$68,_xlpm.rad),_xlpm.kod,INDEX(AF$19:AF$68,_xlpm.rad),IFERROR(IF(AND(_xlpm.typ="H",_xlpm.kod&lt;&gt;""),UPPER(_xlpm.kod),GN$18),GN$18))</f>
        <v>23</v>
      </c>
      <c r="GO103" s="88" cm="1">
        <f t="array" ref="GO103">_xlfn.LET(_xlpm.rad,$FO103+1,_xlpm.typ,INDEX($E$20:$E$68,_xlpm.rad),_xlpm.kod,INDEX(AG$19:AG$68,_xlpm.rad),IFERROR(IF(AND(_xlpm.typ="H",_xlpm.kod&lt;&gt;""),UPPER(_xlpm.kod),GO$18),GO$18))</f>
        <v>24</v>
      </c>
      <c r="GP103" s="88" cm="1">
        <f t="array" ref="GP103">_xlfn.LET(_xlpm.rad,$FO103+1,_xlpm.typ,INDEX($E$20:$E$68,_xlpm.rad),_xlpm.kod,INDEX(AH$19:AH$68,_xlpm.rad),IFERROR(IF(AND(_xlpm.typ="H",_xlpm.kod&lt;&gt;""),UPPER(_xlpm.kod),GP$18),GP$18))</f>
        <v>25</v>
      </c>
      <c r="GQ103" s="88" cm="1">
        <f t="array" ref="GQ103">_xlfn.LET(_xlpm.rad,$FO103+1,_xlpm.typ,INDEX($E$20:$E$68,_xlpm.rad),_xlpm.kod,INDEX(AI$19:AI$68,_xlpm.rad),IFERROR(IF(AND(_xlpm.typ="H",_xlpm.kod&lt;&gt;""),UPPER(_xlpm.kod),GQ$18),GQ$18))</f>
        <v>26</v>
      </c>
      <c r="GR103" s="88" cm="1">
        <f t="array" ref="GR103">_xlfn.LET(_xlpm.rad,$FO103+1,_xlpm.typ,INDEX($E$20:$E$68,_xlpm.rad),_xlpm.kod,INDEX(AJ$19:AJ$68,_xlpm.rad),IFERROR(IF(AND(_xlpm.typ="H",_xlpm.kod&lt;&gt;""),UPPER(_xlpm.kod),GR$18),GR$18))</f>
        <v>27</v>
      </c>
      <c r="GS103" s="88" cm="1">
        <f t="array" ref="GS103">_xlfn.LET(_xlpm.rad,$FO103+1,_xlpm.typ,INDEX($E$20:$E$68,_xlpm.rad),_xlpm.kod,INDEX(AK$19:AK$68,_xlpm.rad),IFERROR(IF(AND(_xlpm.typ="H",_xlpm.kod&lt;&gt;""),UPPER(_xlpm.kod),GS$18),GS$18))</f>
        <v>28</v>
      </c>
      <c r="GT103" s="88" cm="1">
        <f t="array" ref="GT103">_xlfn.LET(_xlpm.rad,$FO103+1,_xlpm.typ,INDEX($E$20:$E$68,_xlpm.rad),_xlpm.kod,INDEX(AL$19:AL$68,_xlpm.rad),IFERROR(IF(AND(_xlpm.typ="H",_xlpm.kod&lt;&gt;""),UPPER(_xlpm.kod),GT$18),GT$18))</f>
        <v>29</v>
      </c>
      <c r="GU103" s="88" cm="1">
        <f t="array" ref="GU103">_xlfn.LET(_xlpm.rad,$FO103+1,_xlpm.typ,INDEX($E$20:$E$68,_xlpm.rad),_xlpm.kod,INDEX(AM$19:AM$68,_xlpm.rad),IFERROR(IF(AND(_xlpm.typ="H",_xlpm.kod&lt;&gt;""),UPPER(_xlpm.kod),GU$18),GU$18))</f>
        <v>30</v>
      </c>
    </row>
    <row r="104" spans="7:203" x14ac:dyDescent="0.35">
      <c r="G104" s="116">
        <v>45606</v>
      </c>
      <c r="H104" s="117"/>
      <c r="I104" s="119" t="s">
        <v>1968</v>
      </c>
      <c r="J104" s="12" t="s">
        <v>1969</v>
      </c>
      <c r="EO104" s="88"/>
      <c r="EP104" s="88"/>
      <c r="EQ104" s="88"/>
      <c r="ER104" s="88"/>
      <c r="ES104" s="88"/>
      <c r="ET104" s="88"/>
      <c r="EU104" s="88"/>
      <c r="EV104" s="88"/>
      <c r="EW104" s="88"/>
      <c r="EX104" s="88"/>
      <c r="EY104" s="88"/>
      <c r="EZ104" s="88"/>
      <c r="FA104" s="88"/>
      <c r="FB104" s="88"/>
      <c r="FC104" s="88"/>
      <c r="FD104" s="88"/>
      <c r="FE104" s="88"/>
      <c r="FF104" s="88"/>
      <c r="FG104" s="88"/>
      <c r="FH104" s="88"/>
      <c r="FI104" s="88"/>
      <c r="FJ104" s="88"/>
      <c r="FK104" s="88"/>
      <c r="FL104" s="88"/>
      <c r="FM104" s="88"/>
      <c r="FN104" s="88"/>
      <c r="FR104" s="88" cm="1">
        <f t="array" ref="FR104">_xlfn.LET(_xlpm.rad,$FO103+1,_xlpm.typ,INDEX($E$20:$E$68,_xlpm.rad),_xlpm.kod,INDEX(J$19:J$68,_xlpm.rad),_xlpm.del,INDEX($F$19:$F$68,_xlpm.rad),IFERROR(IF(AND(_xlpm.typ="H",_xlpm.kod&lt;&gt;"",_xlpm.del&lt;&gt;"Hybrid - Thrust + 2 connections"),INDEX(Hyb_Tech,MATCH(_xlpm.kod,Hyb_Code,0)),FR$72),FR$72))</f>
        <v>1</v>
      </c>
      <c r="FS104" s="88" cm="1">
        <f t="array" ref="FS104">_xlfn.LET(_xlpm.rad,$FO103+1,_xlpm.typ,INDEX($E$20:$E$68,_xlpm.rad),_xlpm.kod,INDEX(K$19:K$68,_xlpm.rad),_xlpm.del,INDEX($F$19:$F$68,_xlpm.rad),IFERROR(IF(AND(_xlpm.typ="H",_xlpm.kod&lt;&gt;"",_xlpm.del&lt;&gt;"Hybrid - Thrust + 2 connections"),INDEX(Hyb_Tech,MATCH(_xlpm.kod,Hyb_Code,0)),FS$72),FS$72))</f>
        <v>2</v>
      </c>
      <c r="FT104" s="88" cm="1">
        <f t="array" ref="FT104">_xlfn.LET(_xlpm.rad,$FO103+1,_xlpm.typ,INDEX($E$20:$E$68,_xlpm.rad),_xlpm.kod,INDEX(L$19:L$68,_xlpm.rad),_xlpm.del,INDEX($F$19:$F$68,_xlpm.rad),IFERROR(IF(AND(_xlpm.typ="H",_xlpm.kod&lt;&gt;"",_xlpm.del&lt;&gt;"Hybrid - Thrust + 2 connections"),INDEX(Hyb_Tech,MATCH(_xlpm.kod,Hyb_Code,0)),FT$72),FT$72))</f>
        <v>3</v>
      </c>
      <c r="FU104" s="88" cm="1">
        <f t="array" ref="FU104">_xlfn.LET(_xlpm.rad,$FO103+1,_xlpm.typ,INDEX($E$20:$E$68,_xlpm.rad),_xlpm.kod,INDEX(M$19:M$68,_xlpm.rad),_xlpm.del,INDEX($F$19:$F$68,_xlpm.rad),IFERROR(IF(AND(_xlpm.typ="H",_xlpm.kod&lt;&gt;"",_xlpm.del&lt;&gt;"Hybrid - Thrust + 2 connections"),INDEX(Hyb_Tech,MATCH(_xlpm.kod,Hyb_Code,0)),FU$72),FU$72))</f>
        <v>4</v>
      </c>
      <c r="FV104" s="88" cm="1">
        <f t="array" ref="FV104">_xlfn.LET(_xlpm.rad,$FO103+1,_xlpm.typ,INDEX($E$20:$E$68,_xlpm.rad),_xlpm.kod,INDEX(N$19:N$68,_xlpm.rad),_xlpm.del,INDEX($F$19:$F$68,_xlpm.rad),IFERROR(IF(AND(_xlpm.typ="H",_xlpm.kod&lt;&gt;"",_xlpm.del&lt;&gt;"Hybrid - Thrust + 2 connections"),INDEX(Hyb_Tech,MATCH(_xlpm.kod,Hyb_Code,0)),FV$72),FV$72))</f>
        <v>5</v>
      </c>
      <c r="FW104" s="88" cm="1">
        <f t="array" ref="FW104">_xlfn.LET(_xlpm.rad,$FO103+1,_xlpm.typ,INDEX($E$20:$E$68,_xlpm.rad),_xlpm.kod,INDEX(O$19:O$68,_xlpm.rad),_xlpm.del,INDEX($F$19:$F$68,_xlpm.rad),IFERROR(IF(AND(_xlpm.typ="H",_xlpm.kod&lt;&gt;"",_xlpm.del&lt;&gt;"Hybrid - Thrust + 2 connections"),INDEX(Hyb_Tech,MATCH(_xlpm.kod,Hyb_Code,0)),FW$72),FW$72))</f>
        <v>6</v>
      </c>
      <c r="FX104" s="88" cm="1">
        <f t="array" ref="FX104">_xlfn.LET(_xlpm.rad,$FO103+1,_xlpm.typ,INDEX($E$20:$E$68,_xlpm.rad),_xlpm.kod,INDEX(P$19:P$68,_xlpm.rad),_xlpm.del,INDEX($F$19:$F$68,_xlpm.rad),IFERROR(IF(AND(_xlpm.typ="H",_xlpm.kod&lt;&gt;"",_xlpm.del&lt;&gt;"Hybrid - Thrust + 2 connections"),INDEX(Hyb_Tech,MATCH(_xlpm.kod,Hyb_Code,0)),FX$72),FX$72))</f>
        <v>7</v>
      </c>
      <c r="FY104" s="88" cm="1">
        <f t="array" ref="FY104">_xlfn.LET(_xlpm.rad,$FO103+1,_xlpm.typ,INDEX($E$20:$E$68,_xlpm.rad),_xlpm.kod,INDEX(Q$19:Q$68,_xlpm.rad),_xlpm.del,INDEX($F$19:$F$68,_xlpm.rad),IFERROR(IF(AND(_xlpm.typ="H",_xlpm.kod&lt;&gt;"",_xlpm.del&lt;&gt;"Hybrid - Thrust + 2 connections"),INDEX(Hyb_Tech,MATCH(_xlpm.kod,Hyb_Code,0)),FY$72),FY$72))</f>
        <v>8</v>
      </c>
      <c r="FZ104" s="88" cm="1">
        <f t="array" ref="FZ104">_xlfn.LET(_xlpm.rad,$FO103+1,_xlpm.typ,INDEX($E$20:$E$68,_xlpm.rad),_xlpm.kod,INDEX(R$19:R$68,_xlpm.rad),_xlpm.del,INDEX($F$19:$F$68,_xlpm.rad),IFERROR(IF(AND(_xlpm.typ="H",_xlpm.kod&lt;&gt;"",_xlpm.del&lt;&gt;"Hybrid - Thrust + 2 connections"),INDEX(Hyb_Tech,MATCH(_xlpm.kod,Hyb_Code,0)),FZ$72),FZ$72))</f>
        <v>9</v>
      </c>
      <c r="GA104" s="88" cm="1">
        <f t="array" ref="GA104">_xlfn.LET(_xlpm.rad,$FO103+1,_xlpm.typ,INDEX($E$20:$E$68,_xlpm.rad),_xlpm.kod,INDEX(S$19:S$68,_xlpm.rad),_xlpm.del,INDEX($F$19:$F$68,_xlpm.rad),IFERROR(IF(AND(_xlpm.typ="H",_xlpm.kod&lt;&gt;"",_xlpm.del&lt;&gt;"Hybrid - Thrust + 2 connections"),INDEX(Hyb_Tech,MATCH(_xlpm.kod,Hyb_Code,0)),GA$72),GA$72))</f>
        <v>10</v>
      </c>
      <c r="GB104" s="88" cm="1">
        <f t="array" ref="GB104">_xlfn.LET(_xlpm.rad,$FO103+1,_xlpm.typ,INDEX($E$20:$E$68,_xlpm.rad),_xlpm.kod,INDEX(T$19:T$68,_xlpm.rad),_xlpm.del,INDEX($F$19:$F$68,_xlpm.rad),IFERROR(IF(AND(_xlpm.typ="H",_xlpm.kod&lt;&gt;"",_xlpm.del&lt;&gt;"Hybrid - Thrust + 2 connections"),INDEX(Hyb_Tech,MATCH(_xlpm.kod,Hyb_Code,0)),GB$72),GB$72))</f>
        <v>11</v>
      </c>
      <c r="GC104" s="88" cm="1">
        <f t="array" ref="GC104">_xlfn.LET(_xlpm.rad,$FO103+1,_xlpm.typ,INDEX($E$20:$E$68,_xlpm.rad),_xlpm.kod,INDEX(U$19:U$68,_xlpm.rad),_xlpm.del,INDEX($F$19:$F$68,_xlpm.rad),IFERROR(IF(AND(_xlpm.typ="H",_xlpm.kod&lt;&gt;"",_xlpm.del&lt;&gt;"Hybrid - Thrust + 2 connections"),INDEX(Hyb_Tech,MATCH(_xlpm.kod,Hyb_Code,0)),GC$72),GC$72))</f>
        <v>12</v>
      </c>
      <c r="GD104" s="88" cm="1">
        <f t="array" ref="GD104">_xlfn.LET(_xlpm.rad,$FO103+1,_xlpm.typ,INDEX($E$20:$E$68,_xlpm.rad),_xlpm.kod,INDEX(V$19:V$68,_xlpm.rad),_xlpm.del,INDEX($F$19:$F$68,_xlpm.rad),IFERROR(IF(AND(_xlpm.typ="H",_xlpm.kod&lt;&gt;"",_xlpm.del&lt;&gt;"Hybrid - Thrust + 2 connections"),INDEX(Hyb_Tech,MATCH(_xlpm.kod,Hyb_Code,0)),GD$72),GD$72))</f>
        <v>13</v>
      </c>
      <c r="GE104" s="88" cm="1">
        <f t="array" ref="GE104">_xlfn.LET(_xlpm.rad,$FO103+1,_xlpm.typ,INDEX($E$20:$E$68,_xlpm.rad),_xlpm.kod,INDEX(W$19:W$68,_xlpm.rad),_xlpm.del,INDEX($F$19:$F$68,_xlpm.rad),IFERROR(IF(AND(_xlpm.typ="H",_xlpm.kod&lt;&gt;"",_xlpm.del&lt;&gt;"Hybrid - Thrust + 2 connections"),INDEX(Hyb_Tech,MATCH(_xlpm.kod,Hyb_Code,0)),GE$72),GE$72))</f>
        <v>14</v>
      </c>
      <c r="GF104" s="88" cm="1">
        <f t="array" ref="GF104">_xlfn.LET(_xlpm.rad,$FO103+1,_xlpm.typ,INDEX($E$20:$E$68,_xlpm.rad),_xlpm.kod,INDEX(X$19:X$68,_xlpm.rad),_xlpm.del,INDEX($F$19:$F$68,_xlpm.rad),IFERROR(IF(AND(_xlpm.typ="H",_xlpm.kod&lt;&gt;"",_xlpm.del&lt;&gt;"Hybrid - Thrust + 2 connections"),INDEX(Hyb_Tech,MATCH(_xlpm.kod,Hyb_Code,0)),GF$72),GF$72))</f>
        <v>15</v>
      </c>
      <c r="GG104" s="88" cm="1">
        <f t="array" ref="GG104">_xlfn.LET(_xlpm.rad,$FO103+1,_xlpm.typ,INDEX($E$20:$E$68,_xlpm.rad),_xlpm.kod,INDEX(Y$19:Y$68,_xlpm.rad),_xlpm.del,INDEX($F$19:$F$68,_xlpm.rad),IFERROR(IF(AND(_xlpm.typ="H",_xlpm.kod&lt;&gt;"",_xlpm.del&lt;&gt;"Hybrid - Thrust + 2 connections"),INDEX(Hyb_Tech,MATCH(_xlpm.kod,Hyb_Code,0)),GG$72),GG$72))</f>
        <v>16</v>
      </c>
      <c r="GH104" s="88" cm="1">
        <f t="array" ref="GH104">_xlfn.LET(_xlpm.rad,$FO103+1,_xlpm.typ,INDEX($E$20:$E$68,_xlpm.rad),_xlpm.kod,INDEX(Z$19:Z$68,_xlpm.rad),_xlpm.del,INDEX($F$19:$F$68,_xlpm.rad),IFERROR(IF(AND(_xlpm.typ="H",_xlpm.kod&lt;&gt;"",_xlpm.del&lt;&gt;"Hybrid - Thrust + 2 connections"),INDEX(Hyb_Tech,MATCH(_xlpm.kod,Hyb_Code,0)),GH$72),GH$72))</f>
        <v>17</v>
      </c>
      <c r="GI104" s="88" cm="1">
        <f t="array" ref="GI104">_xlfn.LET(_xlpm.rad,$FO103+1,_xlpm.typ,INDEX($E$20:$E$68,_xlpm.rad),_xlpm.kod,INDEX(AA$19:AA$68,_xlpm.rad),_xlpm.del,INDEX($F$19:$F$68,_xlpm.rad),IFERROR(IF(AND(_xlpm.typ="H",_xlpm.kod&lt;&gt;"",_xlpm.del&lt;&gt;"Hybrid - Thrust + 2 connections"),INDEX(Hyb_Tech,MATCH(_xlpm.kod,Hyb_Code,0)),GI$72),GI$72))</f>
        <v>18</v>
      </c>
      <c r="GJ104" s="88" cm="1">
        <f t="array" ref="GJ104">_xlfn.LET(_xlpm.rad,$FO103+1,_xlpm.typ,INDEX($E$20:$E$68,_xlpm.rad),_xlpm.kod,INDEX(AB$19:AB$68,_xlpm.rad),_xlpm.del,INDEX($F$19:$F$68,_xlpm.rad),IFERROR(IF(AND(_xlpm.typ="H",_xlpm.kod&lt;&gt;"",_xlpm.del&lt;&gt;"Hybrid - Thrust + 2 connections"),INDEX(Hyb_Tech,MATCH(_xlpm.kod,Hyb_Code,0)),GJ$72),GJ$72))</f>
        <v>19</v>
      </c>
      <c r="GK104" s="88" cm="1">
        <f t="array" ref="GK104">_xlfn.LET(_xlpm.rad,$FO103+1,_xlpm.typ,INDEX($E$20:$E$68,_xlpm.rad),_xlpm.kod,INDEX(AC$19:AC$68,_xlpm.rad),_xlpm.del,INDEX($F$19:$F$68,_xlpm.rad),IFERROR(IF(AND(_xlpm.typ="H",_xlpm.kod&lt;&gt;"",_xlpm.del&lt;&gt;"Hybrid - Thrust + 2 connections"),INDEX(Hyb_Tech,MATCH(_xlpm.kod,Hyb_Code,0)),GK$72),GK$72))</f>
        <v>20</v>
      </c>
      <c r="GL104" s="88" cm="1">
        <f t="array" ref="GL104">_xlfn.LET(_xlpm.rad,$FO103+1,_xlpm.typ,INDEX($E$20:$E$68,_xlpm.rad),_xlpm.kod,INDEX(AD$19:AD$68,_xlpm.rad),_xlpm.del,INDEX($F$19:$F$68,_xlpm.rad),IFERROR(IF(AND(_xlpm.typ="H",_xlpm.kod&lt;&gt;"",_xlpm.del&lt;&gt;"Hybrid - Thrust + 2 connections"),INDEX(Hyb_Tech,MATCH(_xlpm.kod,Hyb_Code,0)),GL$72),GL$72))</f>
        <v>21</v>
      </c>
      <c r="GM104" s="88" cm="1">
        <f t="array" ref="GM104">_xlfn.LET(_xlpm.rad,$FO103+1,_xlpm.typ,INDEX($E$20:$E$68,_xlpm.rad),_xlpm.kod,INDEX(AE$19:AE$68,_xlpm.rad),_xlpm.del,INDEX($F$19:$F$68,_xlpm.rad),IFERROR(IF(AND(_xlpm.typ="H",_xlpm.kod&lt;&gt;"",_xlpm.del&lt;&gt;"Hybrid - Thrust + 2 connections"),INDEX(Hyb_Tech,MATCH(_xlpm.kod,Hyb_Code,0)),GM$72),GM$72))</f>
        <v>22</v>
      </c>
      <c r="GN104" s="88" cm="1">
        <f t="array" ref="GN104">_xlfn.LET(_xlpm.rad,$FO103+1,_xlpm.typ,INDEX($E$20:$E$68,_xlpm.rad),_xlpm.kod,INDEX(AF$19:AF$68,_xlpm.rad),_xlpm.del,INDEX($F$19:$F$68,_xlpm.rad),IFERROR(IF(AND(_xlpm.typ="H",_xlpm.kod&lt;&gt;"",_xlpm.del&lt;&gt;"Hybrid - Thrust + 2 connections"),INDEX(Hyb_Tech,MATCH(_xlpm.kod,Hyb_Code,0)),GN$72),GN$72))</f>
        <v>23</v>
      </c>
      <c r="GO104" s="88" cm="1">
        <f t="array" ref="GO104">_xlfn.LET(_xlpm.rad,$FO103+1,_xlpm.typ,INDEX($E$20:$E$68,_xlpm.rad),_xlpm.kod,INDEX(AG$19:AG$68,_xlpm.rad),_xlpm.del,INDEX($F$19:$F$68,_xlpm.rad),IFERROR(IF(AND(_xlpm.typ="H",_xlpm.kod&lt;&gt;"",_xlpm.del&lt;&gt;"Hybrid - Thrust + 2 connections"),INDEX(Hyb_Tech,MATCH(_xlpm.kod,Hyb_Code,0)),GO$72),GO$72))</f>
        <v>24</v>
      </c>
      <c r="GP104" s="88" cm="1">
        <f t="array" ref="GP104">_xlfn.LET(_xlpm.rad,$FO103+1,_xlpm.typ,INDEX($E$20:$E$68,_xlpm.rad),_xlpm.kod,INDEX(AH$19:AH$68,_xlpm.rad),_xlpm.del,INDEX($F$19:$F$68,_xlpm.rad),IFERROR(IF(AND(_xlpm.typ="H",_xlpm.kod&lt;&gt;"",_xlpm.del&lt;&gt;"Hybrid - Thrust + 2 connections"),INDEX(Hyb_Tech,MATCH(_xlpm.kod,Hyb_Code,0)),GP$72),GP$72))</f>
        <v>25</v>
      </c>
      <c r="GQ104" s="88" cm="1">
        <f t="array" ref="GQ104">_xlfn.LET(_xlpm.rad,$FO103+1,_xlpm.typ,INDEX($E$20:$E$68,_xlpm.rad),_xlpm.kod,INDEX(AI$19:AI$68,_xlpm.rad),_xlpm.del,INDEX($F$19:$F$68,_xlpm.rad),IFERROR(IF(AND(_xlpm.typ="H",_xlpm.kod&lt;&gt;"",_xlpm.del&lt;&gt;"Hybrid - Thrust + 2 connections"),INDEX(Hyb_Tech,MATCH(_xlpm.kod,Hyb_Code,0)),GQ$72),GQ$72))</f>
        <v>26</v>
      </c>
      <c r="GR104" s="88" cm="1">
        <f t="array" ref="GR104">_xlfn.LET(_xlpm.rad,$FO103+1,_xlpm.typ,INDEX($E$20:$E$68,_xlpm.rad),_xlpm.kod,INDEX(AJ$19:AJ$68,_xlpm.rad),_xlpm.del,INDEX($F$19:$F$68,_xlpm.rad),IFERROR(IF(AND(_xlpm.typ="H",_xlpm.kod&lt;&gt;"",_xlpm.del&lt;&gt;"Hybrid - Thrust + 2 connections"),INDEX(Hyb_Tech,MATCH(_xlpm.kod,Hyb_Code,0)),GR$72),GR$72))</f>
        <v>27</v>
      </c>
      <c r="GS104" s="88" cm="1">
        <f t="array" ref="GS104">_xlfn.LET(_xlpm.rad,$FO103+1,_xlpm.typ,INDEX($E$20:$E$68,_xlpm.rad),_xlpm.kod,INDEX(AK$19:AK$68,_xlpm.rad),_xlpm.del,INDEX($F$19:$F$68,_xlpm.rad),IFERROR(IF(AND(_xlpm.typ="H",_xlpm.kod&lt;&gt;"",_xlpm.del&lt;&gt;"Hybrid - Thrust + 2 connections"),INDEX(Hyb_Tech,MATCH(_xlpm.kod,Hyb_Code,0)),GS$72),GS$72))</f>
        <v>28</v>
      </c>
      <c r="GT104" s="88" cm="1">
        <f t="array" ref="GT104">_xlfn.LET(_xlpm.rad,$FO103+1,_xlpm.typ,INDEX($E$20:$E$68,_xlpm.rad),_xlpm.kod,INDEX(AL$19:AL$68,_xlpm.rad),_xlpm.del,INDEX($F$19:$F$68,_xlpm.rad),IFERROR(IF(AND(_xlpm.typ="H",_xlpm.kod&lt;&gt;"",_xlpm.del&lt;&gt;"Hybrid - Thrust + 2 connections"),INDEX(Hyb_Tech,MATCH(_xlpm.kod,Hyb_Code,0)),GT$72),GT$72))</f>
        <v>29</v>
      </c>
      <c r="GU104" s="88" cm="1">
        <f t="array" ref="GU104">_xlfn.LET(_xlpm.rad,$FO103+1,_xlpm.typ,INDEX($E$20:$E$68,_xlpm.rad),_xlpm.kod,INDEX(AM$19:AM$68,_xlpm.rad),_xlpm.del,INDEX($F$19:$F$68,_xlpm.rad),IFERROR(IF(AND(_xlpm.typ="H",_xlpm.kod&lt;&gt;"",_xlpm.del&lt;&gt;"Hybrid - Thrust + 2 connections"),INDEX(Hyb_Tech,MATCH(_xlpm.kod,Hyb_Code,0)),GU$72),GU$72))</f>
        <v>30</v>
      </c>
    </row>
    <row r="105" spans="7:203" x14ac:dyDescent="0.35">
      <c r="G105" s="116">
        <v>45607</v>
      </c>
      <c r="H105" s="117"/>
      <c r="I105" s="119" t="s">
        <v>2009</v>
      </c>
      <c r="J105" s="12" t="s">
        <v>2010</v>
      </c>
      <c r="EG105" s="88">
        <f t="shared" ref="EG105" si="3242">COUNTIF(EK105:FN105,0.3)</f>
        <v>0</v>
      </c>
      <c r="EH105" s="88">
        <f t="shared" ref="EH105" si="3243">COUNTIF(EK105:FN105,0.5)</f>
        <v>0</v>
      </c>
      <c r="EI105" s="88" t="str">
        <f t="shared" ref="EI105" si="3244">IF(AND(T37="",OR(EG105&gt;5,EH105&gt;5)),"X",IF(SUM(EK105:FN105)&gt;5,"X",""))</f>
        <v/>
      </c>
      <c r="EK105" s="88" t="str">
        <f t="shared" ref="EK105" si="3245">IF($T$5="",IF(RIGHT(J51,4)="*0,5",0.5,IF(RIGHT(J51,4)="*0,3",0.3,IF(EK52&lt;&gt;"",1,""))),IF(EK52&lt;&gt;"",IF(OR(RIGHT(J51,4)="*0,5",RIGHT(J51,4)="*0,3"),0.5,1),""))</f>
        <v/>
      </c>
      <c r="EL105" s="88" t="str">
        <f t="shared" ref="EL105" si="3246">IF($T$5="",IF(RIGHT(K51,4)="*0,5",0.5,IF(RIGHT(K51,4)="*0,3",0.3,IF(EL52&lt;&gt;"",1,""))),IF(EL52&lt;&gt;"",IF(OR(RIGHT(K51,4)="*0,5",RIGHT(K51,4)="*0,3"),0.5,1),""))</f>
        <v/>
      </c>
      <c r="EM105" s="88" t="str">
        <f t="shared" ref="EM105" si="3247">IF($T$5="",IF(RIGHT(L51,4)="*0,5",0.5,IF(RIGHT(L51,4)="*0,3",0.3,IF(EM52&lt;&gt;"",1,""))),IF(EM52&lt;&gt;"",IF(OR(RIGHT(L51,4)="*0,5",RIGHT(L51,4)="*0,3"),0.5,1),""))</f>
        <v/>
      </c>
      <c r="EN105" s="88" t="str">
        <f t="shared" ref="EN105" si="3248">IF($T$5="",IF(RIGHT(M51,4)="*0,5",0.5,IF(RIGHT(M51,4)="*0,3",0.3,IF(EN52&lt;&gt;"",1,""))),IF(EN52&lt;&gt;"",IF(OR(RIGHT(M51,4)="*0,5",RIGHT(M51,4)="*0,3"),0.5,1),""))</f>
        <v/>
      </c>
      <c r="EO105" s="88" t="str">
        <f t="shared" ref="EO105" si="3249">IF($T$5="",IF(RIGHT(N51,4)="*0,5",0.5,IF(RIGHT(N51,4)="*0,3",0.3,IF(EO52&lt;&gt;"",1,""))),IF(EO52&lt;&gt;"",IF(OR(RIGHT(N51,4)="*0,5",RIGHT(N51,4)="*0,3"),0.5,1),""))</f>
        <v/>
      </c>
      <c r="EP105" s="88" t="str">
        <f t="shared" ref="EP105" si="3250">IF($T$5="",IF(RIGHT(O51,4)="*0,5",0.5,IF(RIGHT(O51,4)="*0,3",0.3,IF(EP52&lt;&gt;"",1,""))),IF(EP52&lt;&gt;"",IF(OR(RIGHT(O51,4)="*0,5",RIGHT(O51,4)="*0,3"),0.5,1),""))</f>
        <v/>
      </c>
      <c r="EQ105" s="88" t="str">
        <f t="shared" ref="EQ105" si="3251">IF($T$5="",IF(RIGHT(P51,4)="*0,5",0.5,IF(RIGHT(P51,4)="*0,3",0.3,IF(EQ52&lt;&gt;"",1,""))),IF(EQ52&lt;&gt;"",IF(OR(RIGHT(P51,4)="*0,5",RIGHT(P51,4)="*0,3"),0.5,1),""))</f>
        <v/>
      </c>
      <c r="ER105" s="88" t="str">
        <f t="shared" ref="ER105" si="3252">IF($T$5="",IF(RIGHT(Q51,4)="*0,5",0.5,IF(RIGHT(Q51,4)="*0,3",0.3,IF(ER52&lt;&gt;"",1,""))),IF(ER52&lt;&gt;"",IF(OR(RIGHT(Q51,4)="*0,5",RIGHT(Q51,4)="*0,3"),0.5,1),""))</f>
        <v/>
      </c>
      <c r="ES105" s="88" t="str">
        <f t="shared" ref="ES105" si="3253">IF($T$5="",IF(RIGHT(R51,4)="*0,5",0.5,IF(RIGHT(R51,4)="*0,3",0.3,IF(ES52&lt;&gt;"",1,""))),IF(ES52&lt;&gt;"",IF(OR(RIGHT(R51,4)="*0,5",RIGHT(R51,4)="*0,3"),0.5,1),""))</f>
        <v/>
      </c>
      <c r="ET105" s="88" t="str">
        <f t="shared" ref="ET105" si="3254">IF($T$5="",IF(RIGHT(S51,4)="*0,5",0.5,IF(RIGHT(S51,4)="*0,3",0.3,IF(ET52&lt;&gt;"",1,""))),IF(ET52&lt;&gt;"",IF(OR(RIGHT(S51,4)="*0,5",RIGHT(S51,4)="*0,3"),0.5,1),""))</f>
        <v/>
      </c>
      <c r="EU105" s="88" t="str">
        <f t="shared" ref="EU105" si="3255">IF($T$5="",IF(RIGHT(T51,4)="*0,5",0.5,IF(RIGHT(T51,4)="*0,3",0.3,IF(EU52&lt;&gt;"",1,""))),IF(EU52&lt;&gt;"",IF(OR(RIGHT(T51,4)="*0,5",RIGHT(T51,4)="*0,3"),0.5,1),""))</f>
        <v/>
      </c>
      <c r="EV105" s="88" t="str">
        <f t="shared" ref="EV105" si="3256">IF($T$5="",IF(RIGHT(U51,4)="*0,5",0.5,IF(RIGHT(U51,4)="*0,3",0.3,IF(EV52&lt;&gt;"",1,""))),IF(EV52&lt;&gt;"",IF(OR(RIGHT(U51,4)="*0,5",RIGHT(U51,4)="*0,3"),0.5,1),""))</f>
        <v/>
      </c>
      <c r="EW105" s="88" t="str">
        <f t="shared" ref="EW105" si="3257">IF($T$5="",IF(RIGHT(V51,4)="*0,5",0.5,IF(RIGHT(V51,4)="*0,3",0.3,IF(EW52&lt;&gt;"",1,""))),IF(EW52&lt;&gt;"",IF(OR(RIGHT(V51,4)="*0,5",RIGHT(V51,4)="*0,3"),0.5,1),""))</f>
        <v/>
      </c>
      <c r="EX105" s="88" t="str">
        <f t="shared" ref="EX105" si="3258">IF($T$5="",IF(RIGHT(W51,4)="*0,5",0.5,IF(RIGHT(W51,4)="*0,3",0.3,IF(EX52&lt;&gt;"",1,""))),IF(EX52&lt;&gt;"",IF(OR(RIGHT(W51,4)="*0,5",RIGHT(W51,4)="*0,3"),0.5,1),""))</f>
        <v/>
      </c>
      <c r="EY105" s="88" t="str">
        <f t="shared" ref="EY105" si="3259">IF($T$5="",IF(RIGHT(X51,4)="*0,5",0.5,IF(RIGHT(X51,4)="*0,3",0.3,IF(EY52&lt;&gt;"",1,""))),IF(EY52&lt;&gt;"",IF(OR(RIGHT(X51,4)="*0,5",RIGHT(X51,4)="*0,3"),0.5,1),""))</f>
        <v/>
      </c>
      <c r="EZ105" s="88" t="str">
        <f t="shared" ref="EZ105" si="3260">IF($T$5="",IF(RIGHT(Y51,4)="*0,5",0.5,IF(RIGHT(Y51,4)="*0,3",0.3,IF(EZ52&lt;&gt;"",1,""))),IF(EZ52&lt;&gt;"",IF(OR(RIGHT(Y51,4)="*0,5",RIGHT(Y51,4)="*0,3"),0.5,1),""))</f>
        <v/>
      </c>
      <c r="FA105" s="88" t="str">
        <f t="shared" ref="FA105" si="3261">IF($T$5="",IF(RIGHT(Z51,4)="*0,5",0.5,IF(RIGHT(Z51,4)="*0,3",0.3,IF(FA52&lt;&gt;"",1,""))),IF(FA52&lt;&gt;"",IF(OR(RIGHT(Z51,4)="*0,5",RIGHT(Z51,4)="*0,3"),0.5,1),""))</f>
        <v/>
      </c>
      <c r="FB105" s="88" t="str">
        <f t="shared" ref="FB105" si="3262">IF($T$5="",IF(RIGHT(AA51,4)="*0,5",0.5,IF(RIGHT(AA51,4)="*0,3",0.3,IF(FB52&lt;&gt;"",1,""))),IF(FB52&lt;&gt;"",IF(OR(RIGHT(AA51,4)="*0,5",RIGHT(AA51,4)="*0,3"),0.5,1),""))</f>
        <v/>
      </c>
      <c r="FC105" s="88" t="str">
        <f t="shared" ref="FC105" si="3263">IF($T$5="",IF(RIGHT(AB51,4)="*0,5",0.5,IF(RIGHT(AB51,4)="*0,3",0.3,IF(FC52&lt;&gt;"",1,""))),IF(FC52&lt;&gt;"",IF(OR(RIGHT(AB51,4)="*0,5",RIGHT(AB51,4)="*0,3"),0.5,1),""))</f>
        <v/>
      </c>
      <c r="FD105" s="88" t="str">
        <f t="shared" ref="FD105" si="3264">IF($T$5="",IF(RIGHT(AC51,4)="*0,5",0.5,IF(RIGHT(AC51,4)="*0,3",0.3,IF(FD52&lt;&gt;"",1,""))),IF(FD52&lt;&gt;"",IF(OR(RIGHT(AC51,4)="*0,5",RIGHT(AC51,4)="*0,3"),0.5,1),""))</f>
        <v/>
      </c>
      <c r="FE105" s="88" t="str">
        <f t="shared" ref="FE105" si="3265">IF($T$5="",IF(RIGHT(AD51,4)="*0,5",0.5,IF(RIGHT(AD51,4)="*0,3",0.3,IF(FE52&lt;&gt;"",1,""))),IF(FE52&lt;&gt;"",IF(OR(RIGHT(AD51,4)="*0,5",RIGHT(AD51,4)="*0,3"),0.5,1),""))</f>
        <v/>
      </c>
      <c r="FF105" s="88" t="str">
        <f t="shared" ref="FF105" si="3266">IF($T$5="",IF(RIGHT(AE51,4)="*0,5",0.5,IF(RIGHT(AE51,4)="*0,3",0.3,IF(FF52&lt;&gt;"",1,""))),IF(FF52&lt;&gt;"",IF(OR(RIGHT(AE51,4)="*0,5",RIGHT(AE51,4)="*0,3"),0.5,1),""))</f>
        <v/>
      </c>
      <c r="FG105" s="88" t="str">
        <f t="shared" ref="FG105" si="3267">IF($T$5="",IF(RIGHT(AF51,4)="*0,5",0.5,IF(RIGHT(AF51,4)="*0,3",0.3,IF(FG52&lt;&gt;"",1,""))),IF(FG52&lt;&gt;"",IF(OR(RIGHT(AF51,4)="*0,5",RIGHT(AF51,4)="*0,3"),0.5,1),""))</f>
        <v/>
      </c>
      <c r="FH105" s="88" t="str">
        <f t="shared" ref="FH105" si="3268">IF($T$5="",IF(RIGHT(AG51,4)="*0,5",0.5,IF(RIGHT(AG51,4)="*0,3",0.3,IF(FH52&lt;&gt;"",1,""))),IF(FH52&lt;&gt;"",IF(OR(RIGHT(AG51,4)="*0,5",RIGHT(AG51,4)="*0,3"),0.5,1),""))</f>
        <v/>
      </c>
      <c r="FI105" s="88" t="str">
        <f t="shared" ref="FI105" si="3269">IF($T$5="",IF(RIGHT(AH51,4)="*0,5",0.5,IF(RIGHT(AH51,4)="*0,3",0.3,IF(FI52&lt;&gt;"",1,""))),IF(FI52&lt;&gt;"",IF(OR(RIGHT(AH51,4)="*0,5",RIGHT(AH51,4)="*0,3"),0.5,1),""))</f>
        <v/>
      </c>
      <c r="FJ105" s="88" t="str">
        <f t="shared" ref="FJ105" si="3270">IF($T$5="",IF(RIGHT(AI51,4)="*0,5",0.5,IF(RIGHT(AI51,4)="*0,3",0.3,IF(FJ52&lt;&gt;"",1,""))),IF(FJ52&lt;&gt;"",IF(OR(RIGHT(AI51,4)="*0,5",RIGHT(AI51,4)="*0,3"),0.5,1),""))</f>
        <v/>
      </c>
      <c r="FK105" s="88" t="str">
        <f t="shared" ref="FK105" si="3271">IF($T$5="",IF(RIGHT(AJ51,4)="*0,5",0.5,IF(RIGHT(AJ51,4)="*0,3",0.3,IF(FK52&lt;&gt;"",1,""))),IF(FK52&lt;&gt;"",IF(OR(RIGHT(AJ51,4)="*0,5",RIGHT(AJ51,4)="*0,3"),0.5,1),""))</f>
        <v/>
      </c>
      <c r="FL105" s="88" t="str">
        <f t="shared" ref="FL105" si="3272">IF($T$5="",IF(RIGHT(AK51,4)="*0,5",0.5,IF(RIGHT(AK51,4)="*0,3",0.3,IF(FL52&lt;&gt;"",1,""))),IF(FL52&lt;&gt;"",IF(OR(RIGHT(AK51,4)="*0,5",RIGHT(AK51,4)="*0,3"),0.5,1),""))</f>
        <v/>
      </c>
      <c r="FM105" s="88" t="str">
        <f t="shared" ref="FM105" si="3273">IF($T$5="",IF(RIGHT(AL51,4)="*0,5",0.5,IF(RIGHT(AL51,4)="*0,3",0.3,IF(FM52&lt;&gt;"",1,""))),IF(FM52&lt;&gt;"",IF(OR(RIGHT(AL51,4)="*0,5",RIGHT(AL51,4)="*0,3"),0.5,1),""))</f>
        <v/>
      </c>
      <c r="FN105" s="88" t="str">
        <f t="shared" ref="FN105" si="3274">IF($T$5="",IF(RIGHT(AM51,4)="*0,5",0.5,IF(RIGHT(AM51,4)="*0,3",0.3,IF(FN52&lt;&gt;"",1,""))),IF(FN52&lt;&gt;"",IF(OR(RIGHT(AM51,4)="*0,5",RIGHT(AM51,4)="*0,3"),0.5,1),""))</f>
        <v/>
      </c>
      <c r="FP105" s="91" t="str" cm="1">
        <f t="array" ref="FP105">IFERROR(IF($T$5="",IF(COUNTIF(FR105:GU105,1)&gt;$FP$18,INDEX($FR$73:$GU$170,$FO103*5/2+1,MATCH(1,FR105:GU105,0)),""),IF(SUM(FR105:GU105)&gt;2,INDEX($FR$73:$GU$170,$FO103*5/2+1,MATCH(1,FR105:GU105,0)),"")),"")</f>
        <v/>
      </c>
      <c r="FQ105" s="88" t="str" cm="1">
        <f t="array" ref="FQ105">IFERROR(IF(LEFT(FP105,1)="C",IF(RIGHT(FP105,1)="+",LEFT(FP105,LEN(FP105)-1),CONCATENATE(FP105,"+")),IF(SUM($FR105:$GU105)&gt;$FP$18,INDEX($FR$73:$GU$170,$FO103*5/2+1,MATCH(0.5,FR105:GU105,0)),"")),"")</f>
        <v/>
      </c>
      <c r="FR105" s="88" t="str">
        <f t="shared" ref="FR105:GU105" si="3275">IF(AND($BV$6="D",LEFT(FR103,1)="C"),IF(COUNTIF($FR104:$GU104,FR104)&gt;$FP$18,INDEX(Hyb_Tech_Value,MATCH(FR103,Hyb_Code,0)),""),IF(COUNTIF($FR104:$GU104,FR104)&gt;$FP$18,INDEX(Hyb_Tech_Value,MATCH(FR103,Hyb_Code,0)),""))</f>
        <v/>
      </c>
      <c r="FS105" s="88" t="str">
        <f t="shared" si="3275"/>
        <v/>
      </c>
      <c r="FT105" s="88" t="str">
        <f t="shared" si="3275"/>
        <v/>
      </c>
      <c r="FU105" s="88" t="str">
        <f t="shared" si="3275"/>
        <v/>
      </c>
      <c r="FV105" s="88" t="str">
        <f t="shared" si="3275"/>
        <v/>
      </c>
      <c r="FW105" s="88" t="str">
        <f t="shared" si="3275"/>
        <v/>
      </c>
      <c r="FX105" s="88" t="str">
        <f t="shared" si="3275"/>
        <v/>
      </c>
      <c r="FY105" s="88" t="str">
        <f t="shared" si="3275"/>
        <v/>
      </c>
      <c r="FZ105" s="88" t="str">
        <f t="shared" si="3275"/>
        <v/>
      </c>
      <c r="GA105" s="88" t="str">
        <f t="shared" si="3275"/>
        <v/>
      </c>
      <c r="GB105" s="88" t="str">
        <f t="shared" si="3275"/>
        <v/>
      </c>
      <c r="GC105" s="88" t="str">
        <f t="shared" si="3275"/>
        <v/>
      </c>
      <c r="GD105" s="88" t="str">
        <f t="shared" si="3275"/>
        <v/>
      </c>
      <c r="GE105" s="88" t="str">
        <f t="shared" si="3275"/>
        <v/>
      </c>
      <c r="GF105" s="88" t="str">
        <f t="shared" si="3275"/>
        <v/>
      </c>
      <c r="GG105" s="88" t="str">
        <f t="shared" si="3275"/>
        <v/>
      </c>
      <c r="GH105" s="88" t="str">
        <f t="shared" si="3275"/>
        <v/>
      </c>
      <c r="GI105" s="88" t="str">
        <f t="shared" si="3275"/>
        <v/>
      </c>
      <c r="GJ105" s="88" t="str">
        <f t="shared" si="3275"/>
        <v/>
      </c>
      <c r="GK105" s="88" t="str">
        <f t="shared" si="3275"/>
        <v/>
      </c>
      <c r="GL105" s="88" t="str">
        <f t="shared" si="3275"/>
        <v/>
      </c>
      <c r="GM105" s="88" t="str">
        <f t="shared" si="3275"/>
        <v/>
      </c>
      <c r="GN105" s="88" t="str">
        <f t="shared" si="3275"/>
        <v/>
      </c>
      <c r="GO105" s="88" t="str">
        <f t="shared" si="3275"/>
        <v/>
      </c>
      <c r="GP105" s="88" t="str">
        <f t="shared" si="3275"/>
        <v/>
      </c>
      <c r="GQ105" s="88" t="str">
        <f t="shared" si="3275"/>
        <v/>
      </c>
      <c r="GR105" s="88" t="str">
        <f t="shared" si="3275"/>
        <v/>
      </c>
      <c r="GS105" s="88" t="str">
        <f t="shared" si="3275"/>
        <v/>
      </c>
      <c r="GT105" s="88" t="str">
        <f t="shared" si="3275"/>
        <v/>
      </c>
      <c r="GU105" s="88" t="str">
        <f t="shared" si="3275"/>
        <v/>
      </c>
    </row>
    <row r="106" spans="7:203" x14ac:dyDescent="0.35">
      <c r="G106" s="116">
        <v>45618</v>
      </c>
      <c r="H106" s="117"/>
      <c r="I106" s="12" t="s">
        <v>2261</v>
      </c>
      <c r="J106" s="12" t="s">
        <v>2014</v>
      </c>
      <c r="EO106" s="88"/>
      <c r="EP106" s="88"/>
      <c r="EQ106" s="88"/>
      <c r="ER106" s="88"/>
      <c r="ES106" s="88"/>
      <c r="ET106" s="88"/>
      <c r="EU106" s="88"/>
      <c r="EV106" s="88"/>
      <c r="EW106" s="88"/>
      <c r="EX106" s="88"/>
      <c r="EY106" s="88"/>
      <c r="EZ106" s="88"/>
      <c r="FA106" s="88"/>
      <c r="FB106" s="88"/>
      <c r="FC106" s="88"/>
      <c r="FD106" s="88"/>
      <c r="FE106" s="88"/>
      <c r="FF106" s="88"/>
      <c r="FG106" s="88"/>
      <c r="FH106" s="88"/>
      <c r="FI106" s="88"/>
      <c r="FJ106" s="88"/>
      <c r="FK106" s="88"/>
      <c r="FL106" s="88"/>
      <c r="FM106" s="88"/>
      <c r="FN106" s="88"/>
      <c r="FQ106" s="88"/>
      <c r="FR106" s="88" t="str">
        <f t="shared" ref="FR106:GU106" si="3276">IFERROR(IF(LEFT(FR103,FIND("*",FR103)-1)=LEFT($FQ$73,FIND("*",$FQ$73)-1),0.5,""),"")</f>
        <v/>
      </c>
      <c r="FS106" s="88" t="str">
        <f t="shared" si="3276"/>
        <v/>
      </c>
      <c r="FT106" s="88" t="str">
        <f t="shared" si="3276"/>
        <v/>
      </c>
      <c r="FU106" s="88" t="str">
        <f t="shared" si="3276"/>
        <v/>
      </c>
      <c r="FV106" s="88" t="str">
        <f t="shared" si="3276"/>
        <v/>
      </c>
      <c r="FW106" s="88" t="str">
        <f t="shared" si="3276"/>
        <v/>
      </c>
      <c r="FX106" s="88" t="str">
        <f t="shared" si="3276"/>
        <v/>
      </c>
      <c r="FY106" s="88" t="str">
        <f t="shared" si="3276"/>
        <v/>
      </c>
      <c r="FZ106" s="88" t="str">
        <f t="shared" si="3276"/>
        <v/>
      </c>
      <c r="GA106" s="88" t="str">
        <f t="shared" si="3276"/>
        <v/>
      </c>
      <c r="GB106" s="88" t="str">
        <f t="shared" si="3276"/>
        <v/>
      </c>
      <c r="GC106" s="88" t="str">
        <f t="shared" si="3276"/>
        <v/>
      </c>
      <c r="GD106" s="88" t="str">
        <f t="shared" si="3276"/>
        <v/>
      </c>
      <c r="GE106" s="88" t="str">
        <f t="shared" si="3276"/>
        <v/>
      </c>
      <c r="GF106" s="88" t="str">
        <f t="shared" si="3276"/>
        <v/>
      </c>
      <c r="GG106" s="88" t="str">
        <f t="shared" si="3276"/>
        <v/>
      </c>
      <c r="GH106" s="88" t="str">
        <f t="shared" si="3276"/>
        <v/>
      </c>
      <c r="GI106" s="88" t="str">
        <f t="shared" si="3276"/>
        <v/>
      </c>
      <c r="GJ106" s="88" t="str">
        <f t="shared" si="3276"/>
        <v/>
      </c>
      <c r="GK106" s="88" t="str">
        <f t="shared" si="3276"/>
        <v/>
      </c>
      <c r="GL106" s="88" t="str">
        <f t="shared" si="3276"/>
        <v/>
      </c>
      <c r="GM106" s="88" t="str">
        <f t="shared" si="3276"/>
        <v/>
      </c>
      <c r="GN106" s="88" t="str">
        <f t="shared" si="3276"/>
        <v/>
      </c>
      <c r="GO106" s="88" t="str">
        <f t="shared" si="3276"/>
        <v/>
      </c>
      <c r="GP106" s="88" t="str">
        <f t="shared" si="3276"/>
        <v/>
      </c>
      <c r="GQ106" s="88" t="str">
        <f t="shared" si="3276"/>
        <v/>
      </c>
      <c r="GR106" s="88" t="str">
        <f t="shared" si="3276"/>
        <v/>
      </c>
      <c r="GS106" s="88" t="str">
        <f t="shared" si="3276"/>
        <v/>
      </c>
      <c r="GT106" s="88" t="str">
        <f t="shared" si="3276"/>
        <v/>
      </c>
      <c r="GU106" s="88" t="str">
        <f t="shared" si="3276"/>
        <v/>
      </c>
    </row>
    <row r="107" spans="7:203" x14ac:dyDescent="0.35">
      <c r="G107" s="116">
        <v>45661</v>
      </c>
      <c r="H107" s="117"/>
      <c r="I107" s="12" t="s">
        <v>2262</v>
      </c>
      <c r="J107" s="12" t="s">
        <v>2263</v>
      </c>
      <c r="EG107" s="88">
        <f t="shared" ref="EG107" si="3277">COUNTIF(EK107:FN107,0.3)</f>
        <v>0</v>
      </c>
      <c r="EH107" s="88">
        <f t="shared" ref="EH107" si="3278">COUNTIF(EK107:FN107,0.5)</f>
        <v>0</v>
      </c>
      <c r="EI107" s="88" t="str">
        <f t="shared" ref="EI107" si="3279">IF(AND(T39="",OR(EG107&gt;5,EH107&gt;5)),"X",IF(SUM(EK107:FN107)&gt;5,"X",""))</f>
        <v/>
      </c>
      <c r="EK107" s="88" t="str">
        <f t="shared" ref="EK107" si="3280">IF($T$5="",IF(RIGHT(J53,4)="*0,5",0.5,IF(RIGHT(J53,4)="*0,3",0.3,IF(EK54&lt;&gt;"",1,""))),IF(EK54&lt;&gt;"",IF(OR(RIGHT(J53,4)="*0,5",RIGHT(J53,4)="*0,3"),0.5,1),""))</f>
        <v/>
      </c>
      <c r="EL107" s="88" t="str">
        <f t="shared" ref="EL107" si="3281">IF($T$5="",IF(RIGHT(K53,4)="*0,5",0.5,IF(RIGHT(K53,4)="*0,3",0.3,IF(EL54&lt;&gt;"",1,""))),IF(EL54&lt;&gt;"",IF(OR(RIGHT(K53,4)="*0,5",RIGHT(K53,4)="*0,3"),0.5,1),""))</f>
        <v/>
      </c>
      <c r="EM107" s="88" t="str">
        <f t="shared" ref="EM107" si="3282">IF($T$5="",IF(RIGHT(L53,4)="*0,5",0.5,IF(RIGHT(L53,4)="*0,3",0.3,IF(EM54&lt;&gt;"",1,""))),IF(EM54&lt;&gt;"",IF(OR(RIGHT(L53,4)="*0,5",RIGHT(L53,4)="*0,3"),0.5,1),""))</f>
        <v/>
      </c>
      <c r="EN107" s="88" t="str">
        <f t="shared" ref="EN107" si="3283">IF($T$5="",IF(RIGHT(M53,4)="*0,5",0.5,IF(RIGHT(M53,4)="*0,3",0.3,IF(EN54&lt;&gt;"",1,""))),IF(EN54&lt;&gt;"",IF(OR(RIGHT(M53,4)="*0,5",RIGHT(M53,4)="*0,3"),0.5,1),""))</f>
        <v/>
      </c>
      <c r="EO107" s="88" t="str">
        <f t="shared" ref="EO107" si="3284">IF($T$5="",IF(RIGHT(N53,4)="*0,5",0.5,IF(RIGHT(N53,4)="*0,3",0.3,IF(EO54&lt;&gt;"",1,""))),IF(EO54&lt;&gt;"",IF(OR(RIGHT(N53,4)="*0,5",RIGHT(N53,4)="*0,3"),0.5,1),""))</f>
        <v/>
      </c>
      <c r="EP107" s="88" t="str">
        <f t="shared" ref="EP107" si="3285">IF($T$5="",IF(RIGHT(O53,4)="*0,5",0.5,IF(RIGHT(O53,4)="*0,3",0.3,IF(EP54&lt;&gt;"",1,""))),IF(EP54&lt;&gt;"",IF(OR(RIGHT(O53,4)="*0,5",RIGHT(O53,4)="*0,3"),0.5,1),""))</f>
        <v/>
      </c>
      <c r="EQ107" s="88" t="str">
        <f t="shared" ref="EQ107" si="3286">IF($T$5="",IF(RIGHT(P53,4)="*0,5",0.5,IF(RIGHT(P53,4)="*0,3",0.3,IF(EQ54&lt;&gt;"",1,""))),IF(EQ54&lt;&gt;"",IF(OR(RIGHT(P53,4)="*0,5",RIGHT(P53,4)="*0,3"),0.5,1),""))</f>
        <v/>
      </c>
      <c r="ER107" s="88" t="str">
        <f t="shared" ref="ER107" si="3287">IF($T$5="",IF(RIGHT(Q53,4)="*0,5",0.5,IF(RIGHT(Q53,4)="*0,3",0.3,IF(ER54&lt;&gt;"",1,""))),IF(ER54&lt;&gt;"",IF(OR(RIGHT(Q53,4)="*0,5",RIGHT(Q53,4)="*0,3"),0.5,1),""))</f>
        <v/>
      </c>
      <c r="ES107" s="88" t="str">
        <f t="shared" ref="ES107" si="3288">IF($T$5="",IF(RIGHT(R53,4)="*0,5",0.5,IF(RIGHT(R53,4)="*0,3",0.3,IF(ES54&lt;&gt;"",1,""))),IF(ES54&lt;&gt;"",IF(OR(RIGHT(R53,4)="*0,5",RIGHT(R53,4)="*0,3"),0.5,1),""))</f>
        <v/>
      </c>
      <c r="ET107" s="88" t="str">
        <f t="shared" ref="ET107" si="3289">IF($T$5="",IF(RIGHT(S53,4)="*0,5",0.5,IF(RIGHT(S53,4)="*0,3",0.3,IF(ET54&lt;&gt;"",1,""))),IF(ET54&lt;&gt;"",IF(OR(RIGHT(S53,4)="*0,5",RIGHT(S53,4)="*0,3"),0.5,1),""))</f>
        <v/>
      </c>
      <c r="EU107" s="88" t="str">
        <f t="shared" ref="EU107" si="3290">IF($T$5="",IF(RIGHT(T53,4)="*0,5",0.5,IF(RIGHT(T53,4)="*0,3",0.3,IF(EU54&lt;&gt;"",1,""))),IF(EU54&lt;&gt;"",IF(OR(RIGHT(T53,4)="*0,5",RIGHT(T53,4)="*0,3"),0.5,1),""))</f>
        <v/>
      </c>
      <c r="EV107" s="88" t="str">
        <f t="shared" ref="EV107" si="3291">IF($T$5="",IF(RIGHT(U53,4)="*0,5",0.5,IF(RIGHT(U53,4)="*0,3",0.3,IF(EV54&lt;&gt;"",1,""))),IF(EV54&lt;&gt;"",IF(OR(RIGHT(U53,4)="*0,5",RIGHT(U53,4)="*0,3"),0.5,1),""))</f>
        <v/>
      </c>
      <c r="EW107" s="88" t="str">
        <f t="shared" ref="EW107" si="3292">IF($T$5="",IF(RIGHT(V53,4)="*0,5",0.5,IF(RIGHT(V53,4)="*0,3",0.3,IF(EW54&lt;&gt;"",1,""))),IF(EW54&lt;&gt;"",IF(OR(RIGHT(V53,4)="*0,5",RIGHT(V53,4)="*0,3"),0.5,1),""))</f>
        <v/>
      </c>
      <c r="EX107" s="88" t="str">
        <f t="shared" ref="EX107" si="3293">IF($T$5="",IF(RIGHT(W53,4)="*0,5",0.5,IF(RIGHT(W53,4)="*0,3",0.3,IF(EX54&lt;&gt;"",1,""))),IF(EX54&lt;&gt;"",IF(OR(RIGHT(W53,4)="*0,5",RIGHT(W53,4)="*0,3"),0.5,1),""))</f>
        <v/>
      </c>
      <c r="EY107" s="88" t="str">
        <f t="shared" ref="EY107" si="3294">IF($T$5="",IF(RIGHT(X53,4)="*0,5",0.5,IF(RIGHT(X53,4)="*0,3",0.3,IF(EY54&lt;&gt;"",1,""))),IF(EY54&lt;&gt;"",IF(OR(RIGHT(X53,4)="*0,5",RIGHT(X53,4)="*0,3"),0.5,1),""))</f>
        <v/>
      </c>
      <c r="EZ107" s="88" t="str">
        <f t="shared" ref="EZ107" si="3295">IF($T$5="",IF(RIGHT(Y53,4)="*0,5",0.5,IF(RIGHT(Y53,4)="*0,3",0.3,IF(EZ54&lt;&gt;"",1,""))),IF(EZ54&lt;&gt;"",IF(OR(RIGHT(Y53,4)="*0,5",RIGHT(Y53,4)="*0,3"),0.5,1),""))</f>
        <v/>
      </c>
      <c r="FA107" s="88" t="str">
        <f t="shared" ref="FA107" si="3296">IF($T$5="",IF(RIGHT(Z53,4)="*0,5",0.5,IF(RIGHT(Z53,4)="*0,3",0.3,IF(FA54&lt;&gt;"",1,""))),IF(FA54&lt;&gt;"",IF(OR(RIGHT(Z53,4)="*0,5",RIGHT(Z53,4)="*0,3"),0.5,1),""))</f>
        <v/>
      </c>
      <c r="FB107" s="88" t="str">
        <f t="shared" ref="FB107" si="3297">IF($T$5="",IF(RIGHT(AA53,4)="*0,5",0.5,IF(RIGHT(AA53,4)="*0,3",0.3,IF(FB54&lt;&gt;"",1,""))),IF(FB54&lt;&gt;"",IF(OR(RIGHT(AA53,4)="*0,5",RIGHT(AA53,4)="*0,3"),0.5,1),""))</f>
        <v/>
      </c>
      <c r="FC107" s="88" t="str">
        <f t="shared" ref="FC107" si="3298">IF($T$5="",IF(RIGHT(AB53,4)="*0,5",0.5,IF(RIGHT(AB53,4)="*0,3",0.3,IF(FC54&lt;&gt;"",1,""))),IF(FC54&lt;&gt;"",IF(OR(RIGHT(AB53,4)="*0,5",RIGHT(AB53,4)="*0,3"),0.5,1),""))</f>
        <v/>
      </c>
      <c r="FD107" s="88" t="str">
        <f t="shared" ref="FD107" si="3299">IF($T$5="",IF(RIGHT(AC53,4)="*0,5",0.5,IF(RIGHT(AC53,4)="*0,3",0.3,IF(FD54&lt;&gt;"",1,""))),IF(FD54&lt;&gt;"",IF(OR(RIGHT(AC53,4)="*0,5",RIGHT(AC53,4)="*0,3"),0.5,1),""))</f>
        <v/>
      </c>
      <c r="FE107" s="88" t="str">
        <f t="shared" ref="FE107" si="3300">IF($T$5="",IF(RIGHT(AD53,4)="*0,5",0.5,IF(RIGHT(AD53,4)="*0,3",0.3,IF(FE54&lt;&gt;"",1,""))),IF(FE54&lt;&gt;"",IF(OR(RIGHT(AD53,4)="*0,5",RIGHT(AD53,4)="*0,3"),0.5,1),""))</f>
        <v/>
      </c>
      <c r="FF107" s="88" t="str">
        <f t="shared" ref="FF107" si="3301">IF($T$5="",IF(RIGHT(AE53,4)="*0,5",0.5,IF(RIGHT(AE53,4)="*0,3",0.3,IF(FF54&lt;&gt;"",1,""))),IF(FF54&lt;&gt;"",IF(OR(RIGHT(AE53,4)="*0,5",RIGHT(AE53,4)="*0,3"),0.5,1),""))</f>
        <v/>
      </c>
      <c r="FG107" s="88" t="str">
        <f t="shared" ref="FG107" si="3302">IF($T$5="",IF(RIGHT(AF53,4)="*0,5",0.5,IF(RIGHT(AF53,4)="*0,3",0.3,IF(FG54&lt;&gt;"",1,""))),IF(FG54&lt;&gt;"",IF(OR(RIGHT(AF53,4)="*0,5",RIGHT(AF53,4)="*0,3"),0.5,1),""))</f>
        <v/>
      </c>
      <c r="FH107" s="88" t="str">
        <f t="shared" ref="FH107" si="3303">IF($T$5="",IF(RIGHT(AG53,4)="*0,5",0.5,IF(RIGHT(AG53,4)="*0,3",0.3,IF(FH54&lt;&gt;"",1,""))),IF(FH54&lt;&gt;"",IF(OR(RIGHT(AG53,4)="*0,5",RIGHT(AG53,4)="*0,3"),0.5,1),""))</f>
        <v/>
      </c>
      <c r="FI107" s="88" t="str">
        <f t="shared" ref="FI107" si="3304">IF($T$5="",IF(RIGHT(AH53,4)="*0,5",0.5,IF(RIGHT(AH53,4)="*0,3",0.3,IF(FI54&lt;&gt;"",1,""))),IF(FI54&lt;&gt;"",IF(OR(RIGHT(AH53,4)="*0,5",RIGHT(AH53,4)="*0,3"),0.5,1),""))</f>
        <v/>
      </c>
      <c r="FJ107" s="88" t="str">
        <f t="shared" ref="FJ107" si="3305">IF($T$5="",IF(RIGHT(AI53,4)="*0,5",0.5,IF(RIGHT(AI53,4)="*0,3",0.3,IF(FJ54&lt;&gt;"",1,""))),IF(FJ54&lt;&gt;"",IF(OR(RIGHT(AI53,4)="*0,5",RIGHT(AI53,4)="*0,3"),0.5,1),""))</f>
        <v/>
      </c>
      <c r="FK107" s="88" t="str">
        <f t="shared" ref="FK107" si="3306">IF($T$5="",IF(RIGHT(AJ53,4)="*0,5",0.5,IF(RIGHT(AJ53,4)="*0,3",0.3,IF(FK54&lt;&gt;"",1,""))),IF(FK54&lt;&gt;"",IF(OR(RIGHT(AJ53,4)="*0,5",RIGHT(AJ53,4)="*0,3"),0.5,1),""))</f>
        <v/>
      </c>
      <c r="FL107" s="88" t="str">
        <f t="shared" ref="FL107" si="3307">IF($T$5="",IF(RIGHT(AK53,4)="*0,5",0.5,IF(RIGHT(AK53,4)="*0,3",0.3,IF(FL54&lt;&gt;"",1,""))),IF(FL54&lt;&gt;"",IF(OR(RIGHT(AK53,4)="*0,5",RIGHT(AK53,4)="*0,3"),0.5,1),""))</f>
        <v/>
      </c>
      <c r="FM107" s="88" t="str">
        <f t="shared" ref="FM107" si="3308">IF($T$5="",IF(RIGHT(AL53,4)="*0,5",0.5,IF(RIGHT(AL53,4)="*0,3",0.3,IF(FM54&lt;&gt;"",1,""))),IF(FM54&lt;&gt;"",IF(OR(RIGHT(AL53,4)="*0,5",RIGHT(AL53,4)="*0,3"),0.5,1),""))</f>
        <v/>
      </c>
      <c r="FN107" s="88" t="str">
        <f t="shared" ref="FN107" si="3309">IF($T$5="",IF(RIGHT(AM53,4)="*0,5",0.5,IF(RIGHT(AM53,4)="*0,3",0.3,IF(FN54&lt;&gt;"",1,""))),IF(FN54&lt;&gt;"",IF(OR(RIGHT(AM53,4)="*0,5",RIGHT(AM53,4)="*0,3"),0.5,1),""))</f>
        <v/>
      </c>
      <c r="FQ107" s="88"/>
      <c r="FR107" s="88"/>
      <c r="FS107" s="88"/>
      <c r="FT107" s="88"/>
      <c r="FU107" s="88"/>
      <c r="FV107" s="88"/>
      <c r="FW107" s="88"/>
      <c r="FX107" s="88"/>
      <c r="FY107" s="88"/>
      <c r="FZ107" s="88"/>
      <c r="GA107" s="88"/>
      <c r="GB107" s="88"/>
      <c r="GC107" s="88"/>
      <c r="GD107" s="88"/>
      <c r="GE107" s="88"/>
      <c r="GF107" s="88"/>
      <c r="GG107" s="88"/>
      <c r="GH107" s="88"/>
      <c r="GI107" s="88"/>
      <c r="GJ107" s="88"/>
      <c r="GK107" s="88"/>
      <c r="GL107" s="88"/>
      <c r="GM107" s="88"/>
      <c r="GN107" s="88"/>
      <c r="GO107" s="88"/>
      <c r="GP107" s="88"/>
      <c r="GQ107" s="88"/>
      <c r="GR107" s="88"/>
      <c r="GS107" s="88"/>
      <c r="GT107" s="88"/>
      <c r="GU107" s="88"/>
    </row>
    <row r="108" spans="7:203" x14ac:dyDescent="0.35">
      <c r="G108" s="116">
        <v>45682</v>
      </c>
      <c r="H108" s="117"/>
      <c r="I108" s="12" t="s">
        <v>2264</v>
      </c>
      <c r="J108" s="12" t="s">
        <v>2267</v>
      </c>
      <c r="EO108" s="88"/>
      <c r="EP108" s="88"/>
      <c r="EQ108" s="88"/>
      <c r="ER108" s="88"/>
      <c r="ES108" s="88"/>
      <c r="ET108" s="88"/>
      <c r="EU108" s="88"/>
      <c r="EV108" s="88"/>
      <c r="EW108" s="88"/>
      <c r="EX108" s="88"/>
      <c r="EY108" s="88"/>
      <c r="EZ108" s="88"/>
      <c r="FA108" s="88"/>
      <c r="FB108" s="88"/>
      <c r="FC108" s="88"/>
      <c r="FD108" s="88"/>
      <c r="FE108" s="88"/>
      <c r="FF108" s="88"/>
      <c r="FG108" s="88"/>
      <c r="FH108" s="88"/>
      <c r="FI108" s="88"/>
      <c r="FJ108" s="88"/>
      <c r="FK108" s="88"/>
      <c r="FL108" s="88"/>
      <c r="FM108" s="88"/>
      <c r="FN108" s="88"/>
      <c r="FO108" s="91">
        <v>14</v>
      </c>
      <c r="FP108" s="88" t="str">
        <f t="shared" ref="FP108" si="3310">IF(SUM(FR111:GU111)&gt;2,FQ108,"")</f>
        <v/>
      </c>
      <c r="FQ108" s="88" t="str" cm="1">
        <f t="array" ref="FQ108">IF(SUM(FR110:GU110)&gt;0,_xlfn.LET(_xlpm.area,FR108:GU108,_xlpm.texts,_xlfn.UNIQUE(_xlfn._xlws.FILTER(_xlpm.area,_xlpm.area&lt;&gt;"")),_xlpm.number,COUNTIF(_xlpm.area,_xlpm.texts),INDEX(_xlpm.texts,MATCH(MAX(_xlpm.number),_xlpm.number,0))),"")</f>
        <v/>
      </c>
      <c r="FR108" s="88" cm="1">
        <f t="array" ref="FR108">_xlfn.LET(_xlpm.rad,$FO108+1,_xlpm.typ,INDEX($E$20:$E$68,_xlpm.rad),_xlpm.kod,INDEX(J$19:J$68,_xlpm.rad),IFERROR(IF(AND(_xlpm.typ="H",_xlpm.kod&lt;&gt;""),UPPER(_xlpm.kod),FR$18),FR$18))</f>
        <v>1</v>
      </c>
      <c r="FS108" s="88" cm="1">
        <f t="array" ref="FS108">_xlfn.LET(_xlpm.rad,$FO108+1,_xlpm.typ,INDEX($E$20:$E$68,_xlpm.rad),_xlpm.kod,INDEX(K$19:K$68,_xlpm.rad),IFERROR(IF(AND(_xlpm.typ="H",_xlpm.kod&lt;&gt;""),UPPER(_xlpm.kod),FS$18),FS$18))</f>
        <v>2</v>
      </c>
      <c r="FT108" s="88" cm="1">
        <f t="array" ref="FT108">_xlfn.LET(_xlpm.rad,$FO108+1,_xlpm.typ,INDEX($E$20:$E$68,_xlpm.rad),_xlpm.kod,INDEX(L$19:L$68,_xlpm.rad),IFERROR(IF(AND(_xlpm.typ="H",_xlpm.kod&lt;&gt;""),UPPER(_xlpm.kod),FT$18),FT$18))</f>
        <v>3</v>
      </c>
      <c r="FU108" s="88" cm="1">
        <f t="array" ref="FU108">_xlfn.LET(_xlpm.rad,$FO108+1,_xlpm.typ,INDEX($E$20:$E$68,_xlpm.rad),_xlpm.kod,INDEX(M$19:M$68,_xlpm.rad),IFERROR(IF(AND(_xlpm.typ="H",_xlpm.kod&lt;&gt;""),UPPER(_xlpm.kod),FU$18),FU$18))</f>
        <v>4</v>
      </c>
      <c r="FV108" s="88" cm="1">
        <f t="array" ref="FV108">_xlfn.LET(_xlpm.rad,$FO108+1,_xlpm.typ,INDEX($E$20:$E$68,_xlpm.rad),_xlpm.kod,INDEX(N$19:N$68,_xlpm.rad),IFERROR(IF(AND(_xlpm.typ="H",_xlpm.kod&lt;&gt;""),UPPER(_xlpm.kod),FV$18),FV$18))</f>
        <v>5</v>
      </c>
      <c r="FW108" s="88" cm="1">
        <f t="array" ref="FW108">_xlfn.LET(_xlpm.rad,$FO108+1,_xlpm.typ,INDEX($E$20:$E$68,_xlpm.rad),_xlpm.kod,INDEX(O$19:O$68,_xlpm.rad),IFERROR(IF(AND(_xlpm.typ="H",_xlpm.kod&lt;&gt;""),UPPER(_xlpm.kod),FW$18),FW$18))</f>
        <v>6</v>
      </c>
      <c r="FX108" s="88" cm="1">
        <f t="array" ref="FX108">_xlfn.LET(_xlpm.rad,$FO108+1,_xlpm.typ,INDEX($E$20:$E$68,_xlpm.rad),_xlpm.kod,INDEX(P$19:P$68,_xlpm.rad),IFERROR(IF(AND(_xlpm.typ="H",_xlpm.kod&lt;&gt;""),UPPER(_xlpm.kod),FX$18),FX$18))</f>
        <v>7</v>
      </c>
      <c r="FY108" s="88" cm="1">
        <f t="array" ref="FY108">_xlfn.LET(_xlpm.rad,$FO108+1,_xlpm.typ,INDEX($E$20:$E$68,_xlpm.rad),_xlpm.kod,INDEX(Q$19:Q$68,_xlpm.rad),IFERROR(IF(AND(_xlpm.typ="H",_xlpm.kod&lt;&gt;""),UPPER(_xlpm.kod),FY$18),FY$18))</f>
        <v>8</v>
      </c>
      <c r="FZ108" s="88" cm="1">
        <f t="array" ref="FZ108">_xlfn.LET(_xlpm.rad,$FO108+1,_xlpm.typ,INDEX($E$20:$E$68,_xlpm.rad),_xlpm.kod,INDEX(R$19:R$68,_xlpm.rad),IFERROR(IF(AND(_xlpm.typ="H",_xlpm.kod&lt;&gt;""),UPPER(_xlpm.kod),FZ$18),FZ$18))</f>
        <v>9</v>
      </c>
      <c r="GA108" s="88" cm="1">
        <f t="array" ref="GA108">_xlfn.LET(_xlpm.rad,$FO108+1,_xlpm.typ,INDEX($E$20:$E$68,_xlpm.rad),_xlpm.kod,INDEX(S$19:S$68,_xlpm.rad),IFERROR(IF(AND(_xlpm.typ="H",_xlpm.kod&lt;&gt;""),UPPER(_xlpm.kod),GA$18),GA$18))</f>
        <v>10</v>
      </c>
      <c r="GB108" s="88" cm="1">
        <f t="array" ref="GB108">_xlfn.LET(_xlpm.rad,$FO108+1,_xlpm.typ,INDEX($E$20:$E$68,_xlpm.rad),_xlpm.kod,INDEX(T$19:T$68,_xlpm.rad),IFERROR(IF(AND(_xlpm.typ="H",_xlpm.kod&lt;&gt;""),UPPER(_xlpm.kod),GB$18),GB$18))</f>
        <v>11</v>
      </c>
      <c r="GC108" s="88" cm="1">
        <f t="array" ref="GC108">_xlfn.LET(_xlpm.rad,$FO108+1,_xlpm.typ,INDEX($E$20:$E$68,_xlpm.rad),_xlpm.kod,INDEX(U$19:U$68,_xlpm.rad),IFERROR(IF(AND(_xlpm.typ="H",_xlpm.kod&lt;&gt;""),UPPER(_xlpm.kod),GC$18),GC$18))</f>
        <v>12</v>
      </c>
      <c r="GD108" s="88" cm="1">
        <f t="array" ref="GD108">_xlfn.LET(_xlpm.rad,$FO108+1,_xlpm.typ,INDEX($E$20:$E$68,_xlpm.rad),_xlpm.kod,INDEX(V$19:V$68,_xlpm.rad),IFERROR(IF(AND(_xlpm.typ="H",_xlpm.kod&lt;&gt;""),UPPER(_xlpm.kod),GD$18),GD$18))</f>
        <v>13</v>
      </c>
      <c r="GE108" s="88" cm="1">
        <f t="array" ref="GE108">_xlfn.LET(_xlpm.rad,$FO108+1,_xlpm.typ,INDEX($E$20:$E$68,_xlpm.rad),_xlpm.kod,INDEX(W$19:W$68,_xlpm.rad),IFERROR(IF(AND(_xlpm.typ="H",_xlpm.kod&lt;&gt;""),UPPER(_xlpm.kod),GE$18),GE$18))</f>
        <v>14</v>
      </c>
      <c r="GF108" s="88" cm="1">
        <f t="array" ref="GF108">_xlfn.LET(_xlpm.rad,$FO108+1,_xlpm.typ,INDEX($E$20:$E$68,_xlpm.rad),_xlpm.kod,INDEX(X$19:X$68,_xlpm.rad),IFERROR(IF(AND(_xlpm.typ="H",_xlpm.kod&lt;&gt;""),UPPER(_xlpm.kod),GF$18),GF$18))</f>
        <v>15</v>
      </c>
      <c r="GG108" s="88" cm="1">
        <f t="array" ref="GG108">_xlfn.LET(_xlpm.rad,$FO108+1,_xlpm.typ,INDEX($E$20:$E$68,_xlpm.rad),_xlpm.kod,INDEX(Y$19:Y$68,_xlpm.rad),IFERROR(IF(AND(_xlpm.typ="H",_xlpm.kod&lt;&gt;""),UPPER(_xlpm.kod),GG$18),GG$18))</f>
        <v>16</v>
      </c>
      <c r="GH108" s="88" cm="1">
        <f t="array" ref="GH108">_xlfn.LET(_xlpm.rad,$FO108+1,_xlpm.typ,INDEX($E$20:$E$68,_xlpm.rad),_xlpm.kod,INDEX(Z$19:Z$68,_xlpm.rad),IFERROR(IF(AND(_xlpm.typ="H",_xlpm.kod&lt;&gt;""),UPPER(_xlpm.kod),GH$18),GH$18))</f>
        <v>17</v>
      </c>
      <c r="GI108" s="88" cm="1">
        <f t="array" ref="GI108">_xlfn.LET(_xlpm.rad,$FO108+1,_xlpm.typ,INDEX($E$20:$E$68,_xlpm.rad),_xlpm.kod,INDEX(AA$19:AA$68,_xlpm.rad),IFERROR(IF(AND(_xlpm.typ="H",_xlpm.kod&lt;&gt;""),UPPER(_xlpm.kod),GI$18),GI$18))</f>
        <v>18</v>
      </c>
      <c r="GJ108" s="88" cm="1">
        <f t="array" ref="GJ108">_xlfn.LET(_xlpm.rad,$FO108+1,_xlpm.typ,INDEX($E$20:$E$68,_xlpm.rad),_xlpm.kod,INDEX(AB$19:AB$68,_xlpm.rad),IFERROR(IF(AND(_xlpm.typ="H",_xlpm.kod&lt;&gt;""),UPPER(_xlpm.kod),GJ$18),GJ$18))</f>
        <v>19</v>
      </c>
      <c r="GK108" s="88" cm="1">
        <f t="array" ref="GK108">_xlfn.LET(_xlpm.rad,$FO108+1,_xlpm.typ,INDEX($E$20:$E$68,_xlpm.rad),_xlpm.kod,INDEX(AC$19:AC$68,_xlpm.rad),IFERROR(IF(AND(_xlpm.typ="H",_xlpm.kod&lt;&gt;""),UPPER(_xlpm.kod),GK$18),GK$18))</f>
        <v>20</v>
      </c>
      <c r="GL108" s="88" cm="1">
        <f t="array" ref="GL108">_xlfn.LET(_xlpm.rad,$FO108+1,_xlpm.typ,INDEX($E$20:$E$68,_xlpm.rad),_xlpm.kod,INDEX(AD$19:AD$68,_xlpm.rad),IFERROR(IF(AND(_xlpm.typ="H",_xlpm.kod&lt;&gt;""),UPPER(_xlpm.kod),GL$18),GL$18))</f>
        <v>21</v>
      </c>
      <c r="GM108" s="88" cm="1">
        <f t="array" ref="GM108">_xlfn.LET(_xlpm.rad,$FO108+1,_xlpm.typ,INDEX($E$20:$E$68,_xlpm.rad),_xlpm.kod,INDEX(AE$19:AE$68,_xlpm.rad),IFERROR(IF(AND(_xlpm.typ="H",_xlpm.kod&lt;&gt;""),UPPER(_xlpm.kod),GM$18),GM$18))</f>
        <v>22</v>
      </c>
      <c r="GN108" s="88" cm="1">
        <f t="array" ref="GN108">_xlfn.LET(_xlpm.rad,$FO108+1,_xlpm.typ,INDEX($E$20:$E$68,_xlpm.rad),_xlpm.kod,INDEX(AF$19:AF$68,_xlpm.rad),IFERROR(IF(AND(_xlpm.typ="H",_xlpm.kod&lt;&gt;""),UPPER(_xlpm.kod),GN$18),GN$18))</f>
        <v>23</v>
      </c>
      <c r="GO108" s="88" cm="1">
        <f t="array" ref="GO108">_xlfn.LET(_xlpm.rad,$FO108+1,_xlpm.typ,INDEX($E$20:$E$68,_xlpm.rad),_xlpm.kod,INDEX(AG$19:AG$68,_xlpm.rad),IFERROR(IF(AND(_xlpm.typ="H",_xlpm.kod&lt;&gt;""),UPPER(_xlpm.kod),GO$18),GO$18))</f>
        <v>24</v>
      </c>
      <c r="GP108" s="88" cm="1">
        <f t="array" ref="GP108">_xlfn.LET(_xlpm.rad,$FO108+1,_xlpm.typ,INDEX($E$20:$E$68,_xlpm.rad),_xlpm.kod,INDEX(AH$19:AH$68,_xlpm.rad),IFERROR(IF(AND(_xlpm.typ="H",_xlpm.kod&lt;&gt;""),UPPER(_xlpm.kod),GP$18),GP$18))</f>
        <v>25</v>
      </c>
      <c r="GQ108" s="88" cm="1">
        <f t="array" ref="GQ108">_xlfn.LET(_xlpm.rad,$FO108+1,_xlpm.typ,INDEX($E$20:$E$68,_xlpm.rad),_xlpm.kod,INDEX(AI$19:AI$68,_xlpm.rad),IFERROR(IF(AND(_xlpm.typ="H",_xlpm.kod&lt;&gt;""),UPPER(_xlpm.kod),GQ$18),GQ$18))</f>
        <v>26</v>
      </c>
      <c r="GR108" s="88" cm="1">
        <f t="array" ref="GR108">_xlfn.LET(_xlpm.rad,$FO108+1,_xlpm.typ,INDEX($E$20:$E$68,_xlpm.rad),_xlpm.kod,INDEX(AJ$19:AJ$68,_xlpm.rad),IFERROR(IF(AND(_xlpm.typ="H",_xlpm.kod&lt;&gt;""),UPPER(_xlpm.kod),GR$18),GR$18))</f>
        <v>27</v>
      </c>
      <c r="GS108" s="88" cm="1">
        <f t="array" ref="GS108">_xlfn.LET(_xlpm.rad,$FO108+1,_xlpm.typ,INDEX($E$20:$E$68,_xlpm.rad),_xlpm.kod,INDEX(AK$19:AK$68,_xlpm.rad),IFERROR(IF(AND(_xlpm.typ="H",_xlpm.kod&lt;&gt;""),UPPER(_xlpm.kod),GS$18),GS$18))</f>
        <v>28</v>
      </c>
      <c r="GT108" s="88" cm="1">
        <f t="array" ref="GT108">_xlfn.LET(_xlpm.rad,$FO108+1,_xlpm.typ,INDEX($E$20:$E$68,_xlpm.rad),_xlpm.kod,INDEX(AL$19:AL$68,_xlpm.rad),IFERROR(IF(AND(_xlpm.typ="H",_xlpm.kod&lt;&gt;""),UPPER(_xlpm.kod),GT$18),GT$18))</f>
        <v>29</v>
      </c>
      <c r="GU108" s="88" cm="1">
        <f t="array" ref="GU108">_xlfn.LET(_xlpm.rad,$FO108+1,_xlpm.typ,INDEX($E$20:$E$68,_xlpm.rad),_xlpm.kod,INDEX(AM$19:AM$68,_xlpm.rad),IFERROR(IF(AND(_xlpm.typ="H",_xlpm.kod&lt;&gt;""),UPPER(_xlpm.kod),GU$18),GU$18))</f>
        <v>30</v>
      </c>
    </row>
    <row r="109" spans="7:203" x14ac:dyDescent="0.35">
      <c r="G109" s="116">
        <v>45683</v>
      </c>
      <c r="H109" s="117"/>
      <c r="I109" s="12" t="s">
        <v>2269</v>
      </c>
      <c r="J109" s="12" t="s">
        <v>2270</v>
      </c>
      <c r="EG109" s="88">
        <f t="shared" ref="EG109" si="3311">COUNTIF(EK109:FN109,0.3)</f>
        <v>0</v>
      </c>
      <c r="EH109" s="88">
        <f t="shared" ref="EH109" si="3312">COUNTIF(EK109:FN109,0.5)</f>
        <v>0</v>
      </c>
      <c r="EI109" s="88" t="str">
        <f t="shared" ref="EI109" si="3313">IF(AND(T41="",OR(EG109&gt;5,EH109&gt;5)),"X",IF(SUM(EK109:FN109)&gt;5,"X",""))</f>
        <v/>
      </c>
      <c r="EK109" s="88" t="str">
        <f t="shared" ref="EK109" si="3314">IF($T$5="",IF(RIGHT(J55,4)="*0,5",0.5,IF(RIGHT(J55,4)="*0,3",0.3,IF(EK56&lt;&gt;"",1,""))),IF(EK56&lt;&gt;"",IF(OR(RIGHT(J55,4)="*0,5",RIGHT(J55,4)="*0,3"),0.5,1),""))</f>
        <v/>
      </c>
      <c r="EL109" s="88" t="str">
        <f t="shared" ref="EL109" si="3315">IF($T$5="",IF(RIGHT(K55,4)="*0,5",0.5,IF(RIGHT(K55,4)="*0,3",0.3,IF(EL56&lt;&gt;"",1,""))),IF(EL56&lt;&gt;"",IF(OR(RIGHT(K55,4)="*0,5",RIGHT(K55,4)="*0,3"),0.5,1),""))</f>
        <v/>
      </c>
      <c r="EM109" s="88" t="str">
        <f t="shared" ref="EM109" si="3316">IF($T$5="",IF(RIGHT(L55,4)="*0,5",0.5,IF(RIGHT(L55,4)="*0,3",0.3,IF(EM56&lt;&gt;"",1,""))),IF(EM56&lt;&gt;"",IF(OR(RIGHT(L55,4)="*0,5",RIGHT(L55,4)="*0,3"),0.5,1),""))</f>
        <v/>
      </c>
      <c r="EN109" s="88" t="str">
        <f t="shared" ref="EN109" si="3317">IF($T$5="",IF(RIGHT(M55,4)="*0,5",0.5,IF(RIGHT(M55,4)="*0,3",0.3,IF(EN56&lt;&gt;"",1,""))),IF(EN56&lt;&gt;"",IF(OR(RIGHT(M55,4)="*0,5",RIGHT(M55,4)="*0,3"),0.5,1),""))</f>
        <v/>
      </c>
      <c r="EO109" s="88" t="str">
        <f t="shared" ref="EO109" si="3318">IF($T$5="",IF(RIGHT(N55,4)="*0,5",0.5,IF(RIGHT(N55,4)="*0,3",0.3,IF(EO56&lt;&gt;"",1,""))),IF(EO56&lt;&gt;"",IF(OR(RIGHT(N55,4)="*0,5",RIGHT(N55,4)="*0,3"),0.5,1),""))</f>
        <v/>
      </c>
      <c r="EP109" s="88" t="str">
        <f t="shared" ref="EP109" si="3319">IF($T$5="",IF(RIGHT(O55,4)="*0,5",0.5,IF(RIGHT(O55,4)="*0,3",0.3,IF(EP56&lt;&gt;"",1,""))),IF(EP56&lt;&gt;"",IF(OR(RIGHT(O55,4)="*0,5",RIGHT(O55,4)="*0,3"),0.5,1),""))</f>
        <v/>
      </c>
      <c r="EQ109" s="88" t="str">
        <f t="shared" ref="EQ109" si="3320">IF($T$5="",IF(RIGHT(P55,4)="*0,5",0.5,IF(RIGHT(P55,4)="*0,3",0.3,IF(EQ56&lt;&gt;"",1,""))),IF(EQ56&lt;&gt;"",IF(OR(RIGHT(P55,4)="*0,5",RIGHT(P55,4)="*0,3"),0.5,1),""))</f>
        <v/>
      </c>
      <c r="ER109" s="88" t="str">
        <f t="shared" ref="ER109" si="3321">IF($T$5="",IF(RIGHT(Q55,4)="*0,5",0.5,IF(RIGHT(Q55,4)="*0,3",0.3,IF(ER56&lt;&gt;"",1,""))),IF(ER56&lt;&gt;"",IF(OR(RIGHT(Q55,4)="*0,5",RIGHT(Q55,4)="*0,3"),0.5,1),""))</f>
        <v/>
      </c>
      <c r="ES109" s="88" t="str">
        <f t="shared" ref="ES109" si="3322">IF($T$5="",IF(RIGHT(R55,4)="*0,5",0.5,IF(RIGHT(R55,4)="*0,3",0.3,IF(ES56&lt;&gt;"",1,""))),IF(ES56&lt;&gt;"",IF(OR(RIGHT(R55,4)="*0,5",RIGHT(R55,4)="*0,3"),0.5,1),""))</f>
        <v/>
      </c>
      <c r="ET109" s="88" t="str">
        <f t="shared" ref="ET109" si="3323">IF($T$5="",IF(RIGHT(S55,4)="*0,5",0.5,IF(RIGHT(S55,4)="*0,3",0.3,IF(ET56&lt;&gt;"",1,""))),IF(ET56&lt;&gt;"",IF(OR(RIGHT(S55,4)="*0,5",RIGHT(S55,4)="*0,3"),0.5,1),""))</f>
        <v/>
      </c>
      <c r="EU109" s="88" t="str">
        <f t="shared" ref="EU109" si="3324">IF($T$5="",IF(RIGHT(T55,4)="*0,5",0.5,IF(RIGHT(T55,4)="*0,3",0.3,IF(EU56&lt;&gt;"",1,""))),IF(EU56&lt;&gt;"",IF(OR(RIGHT(T55,4)="*0,5",RIGHT(T55,4)="*0,3"),0.5,1),""))</f>
        <v/>
      </c>
      <c r="EV109" s="88" t="str">
        <f t="shared" ref="EV109" si="3325">IF($T$5="",IF(RIGHT(U55,4)="*0,5",0.5,IF(RIGHT(U55,4)="*0,3",0.3,IF(EV56&lt;&gt;"",1,""))),IF(EV56&lt;&gt;"",IF(OR(RIGHT(U55,4)="*0,5",RIGHT(U55,4)="*0,3"),0.5,1),""))</f>
        <v/>
      </c>
      <c r="EW109" s="88" t="str">
        <f t="shared" ref="EW109" si="3326">IF($T$5="",IF(RIGHT(V55,4)="*0,5",0.5,IF(RIGHT(V55,4)="*0,3",0.3,IF(EW56&lt;&gt;"",1,""))),IF(EW56&lt;&gt;"",IF(OR(RIGHT(V55,4)="*0,5",RIGHT(V55,4)="*0,3"),0.5,1),""))</f>
        <v/>
      </c>
      <c r="EX109" s="88" t="str">
        <f t="shared" ref="EX109" si="3327">IF($T$5="",IF(RIGHT(W55,4)="*0,5",0.5,IF(RIGHT(W55,4)="*0,3",0.3,IF(EX56&lt;&gt;"",1,""))),IF(EX56&lt;&gt;"",IF(OR(RIGHT(W55,4)="*0,5",RIGHT(W55,4)="*0,3"),0.5,1),""))</f>
        <v/>
      </c>
      <c r="EY109" s="88" t="str">
        <f t="shared" ref="EY109" si="3328">IF($T$5="",IF(RIGHT(X55,4)="*0,5",0.5,IF(RIGHT(X55,4)="*0,3",0.3,IF(EY56&lt;&gt;"",1,""))),IF(EY56&lt;&gt;"",IF(OR(RIGHT(X55,4)="*0,5",RIGHT(X55,4)="*0,3"),0.5,1),""))</f>
        <v/>
      </c>
      <c r="EZ109" s="88" t="str">
        <f t="shared" ref="EZ109" si="3329">IF($T$5="",IF(RIGHT(Y55,4)="*0,5",0.5,IF(RIGHT(Y55,4)="*0,3",0.3,IF(EZ56&lt;&gt;"",1,""))),IF(EZ56&lt;&gt;"",IF(OR(RIGHT(Y55,4)="*0,5",RIGHT(Y55,4)="*0,3"),0.5,1),""))</f>
        <v/>
      </c>
      <c r="FA109" s="88" t="str">
        <f t="shared" ref="FA109" si="3330">IF($T$5="",IF(RIGHT(Z55,4)="*0,5",0.5,IF(RIGHT(Z55,4)="*0,3",0.3,IF(FA56&lt;&gt;"",1,""))),IF(FA56&lt;&gt;"",IF(OR(RIGHT(Z55,4)="*0,5",RIGHT(Z55,4)="*0,3"),0.5,1),""))</f>
        <v/>
      </c>
      <c r="FB109" s="88" t="str">
        <f t="shared" ref="FB109" si="3331">IF($T$5="",IF(RIGHT(AA55,4)="*0,5",0.5,IF(RIGHT(AA55,4)="*0,3",0.3,IF(FB56&lt;&gt;"",1,""))),IF(FB56&lt;&gt;"",IF(OR(RIGHT(AA55,4)="*0,5",RIGHT(AA55,4)="*0,3"),0.5,1),""))</f>
        <v/>
      </c>
      <c r="FC109" s="88" t="str">
        <f t="shared" ref="FC109" si="3332">IF($T$5="",IF(RIGHT(AB55,4)="*0,5",0.5,IF(RIGHT(AB55,4)="*0,3",0.3,IF(FC56&lt;&gt;"",1,""))),IF(FC56&lt;&gt;"",IF(OR(RIGHT(AB55,4)="*0,5",RIGHT(AB55,4)="*0,3"),0.5,1),""))</f>
        <v/>
      </c>
      <c r="FD109" s="88" t="str">
        <f t="shared" ref="FD109" si="3333">IF($T$5="",IF(RIGHT(AC55,4)="*0,5",0.5,IF(RIGHT(AC55,4)="*0,3",0.3,IF(FD56&lt;&gt;"",1,""))),IF(FD56&lt;&gt;"",IF(OR(RIGHT(AC55,4)="*0,5",RIGHT(AC55,4)="*0,3"),0.5,1),""))</f>
        <v/>
      </c>
      <c r="FE109" s="88" t="str">
        <f t="shared" ref="FE109" si="3334">IF($T$5="",IF(RIGHT(AD55,4)="*0,5",0.5,IF(RIGHT(AD55,4)="*0,3",0.3,IF(FE56&lt;&gt;"",1,""))),IF(FE56&lt;&gt;"",IF(OR(RIGHT(AD55,4)="*0,5",RIGHT(AD55,4)="*0,3"),0.5,1),""))</f>
        <v/>
      </c>
      <c r="FF109" s="88" t="str">
        <f t="shared" ref="FF109" si="3335">IF($T$5="",IF(RIGHT(AE55,4)="*0,5",0.5,IF(RIGHT(AE55,4)="*0,3",0.3,IF(FF56&lt;&gt;"",1,""))),IF(FF56&lt;&gt;"",IF(OR(RIGHT(AE55,4)="*0,5",RIGHT(AE55,4)="*0,3"),0.5,1),""))</f>
        <v/>
      </c>
      <c r="FG109" s="88" t="str">
        <f t="shared" ref="FG109" si="3336">IF($T$5="",IF(RIGHT(AF55,4)="*0,5",0.5,IF(RIGHT(AF55,4)="*0,3",0.3,IF(FG56&lt;&gt;"",1,""))),IF(FG56&lt;&gt;"",IF(OR(RIGHT(AF55,4)="*0,5",RIGHT(AF55,4)="*0,3"),0.5,1),""))</f>
        <v/>
      </c>
      <c r="FH109" s="88" t="str">
        <f t="shared" ref="FH109" si="3337">IF($T$5="",IF(RIGHT(AG55,4)="*0,5",0.5,IF(RIGHT(AG55,4)="*0,3",0.3,IF(FH56&lt;&gt;"",1,""))),IF(FH56&lt;&gt;"",IF(OR(RIGHT(AG55,4)="*0,5",RIGHT(AG55,4)="*0,3"),0.5,1),""))</f>
        <v/>
      </c>
      <c r="FI109" s="88" t="str">
        <f t="shared" ref="FI109" si="3338">IF($T$5="",IF(RIGHT(AH55,4)="*0,5",0.5,IF(RIGHT(AH55,4)="*0,3",0.3,IF(FI56&lt;&gt;"",1,""))),IF(FI56&lt;&gt;"",IF(OR(RIGHT(AH55,4)="*0,5",RIGHT(AH55,4)="*0,3"),0.5,1),""))</f>
        <v/>
      </c>
      <c r="FJ109" s="88" t="str">
        <f t="shared" ref="FJ109" si="3339">IF($T$5="",IF(RIGHT(AI55,4)="*0,5",0.5,IF(RIGHT(AI55,4)="*0,3",0.3,IF(FJ56&lt;&gt;"",1,""))),IF(FJ56&lt;&gt;"",IF(OR(RIGHT(AI55,4)="*0,5",RIGHT(AI55,4)="*0,3"),0.5,1),""))</f>
        <v/>
      </c>
      <c r="FK109" s="88" t="str">
        <f t="shared" ref="FK109" si="3340">IF($T$5="",IF(RIGHT(AJ55,4)="*0,5",0.5,IF(RIGHT(AJ55,4)="*0,3",0.3,IF(FK56&lt;&gt;"",1,""))),IF(FK56&lt;&gt;"",IF(OR(RIGHT(AJ55,4)="*0,5",RIGHT(AJ55,4)="*0,3"),0.5,1),""))</f>
        <v/>
      </c>
      <c r="FL109" s="88" t="str">
        <f t="shared" ref="FL109" si="3341">IF($T$5="",IF(RIGHT(AK55,4)="*0,5",0.5,IF(RIGHT(AK55,4)="*0,3",0.3,IF(FL56&lt;&gt;"",1,""))),IF(FL56&lt;&gt;"",IF(OR(RIGHT(AK55,4)="*0,5",RIGHT(AK55,4)="*0,3"),0.5,1),""))</f>
        <v/>
      </c>
      <c r="FM109" s="88" t="str">
        <f t="shared" ref="FM109" si="3342">IF($T$5="",IF(RIGHT(AL55,4)="*0,5",0.5,IF(RIGHT(AL55,4)="*0,3",0.3,IF(FM56&lt;&gt;"",1,""))),IF(FM56&lt;&gt;"",IF(OR(RIGHT(AL55,4)="*0,5",RIGHT(AL55,4)="*0,3"),0.5,1),""))</f>
        <v/>
      </c>
      <c r="FN109" s="88" t="str">
        <f t="shared" ref="FN109" si="3343">IF($T$5="",IF(RIGHT(AM55,4)="*0,5",0.5,IF(RIGHT(AM55,4)="*0,3",0.3,IF(FN56&lt;&gt;"",1,""))),IF(FN56&lt;&gt;"",IF(OR(RIGHT(AM55,4)="*0,5",RIGHT(AM55,4)="*0,3"),0.5,1),""))</f>
        <v/>
      </c>
      <c r="FR109" s="88" cm="1">
        <f t="array" ref="FR109">_xlfn.LET(_xlpm.rad,$FO108+1,_xlpm.typ,INDEX($E$20:$E$68,_xlpm.rad),_xlpm.kod,INDEX(J$19:J$68,_xlpm.rad),_xlpm.del,INDEX($F$19:$F$68,_xlpm.rad),IFERROR(IF(AND(_xlpm.typ="H",_xlpm.kod&lt;&gt;"",_xlpm.del&lt;&gt;"Hybrid - Thrust + 2 connections"),INDEX(Hyb_Tech,MATCH(_xlpm.kod,Hyb_Code,0)),FR$72),FR$72))</f>
        <v>1</v>
      </c>
      <c r="FS109" s="88" cm="1">
        <f t="array" ref="FS109">_xlfn.LET(_xlpm.rad,$FO108+1,_xlpm.typ,INDEX($E$20:$E$68,_xlpm.rad),_xlpm.kod,INDEX(K$19:K$68,_xlpm.rad),_xlpm.del,INDEX($F$19:$F$68,_xlpm.rad),IFERROR(IF(AND(_xlpm.typ="H",_xlpm.kod&lt;&gt;"",_xlpm.del&lt;&gt;"Hybrid - Thrust + 2 connections"),INDEX(Hyb_Tech,MATCH(_xlpm.kod,Hyb_Code,0)),FS$72),FS$72))</f>
        <v>2</v>
      </c>
      <c r="FT109" s="88" cm="1">
        <f t="array" ref="FT109">_xlfn.LET(_xlpm.rad,$FO108+1,_xlpm.typ,INDEX($E$20:$E$68,_xlpm.rad),_xlpm.kod,INDEX(L$19:L$68,_xlpm.rad),_xlpm.del,INDEX($F$19:$F$68,_xlpm.rad),IFERROR(IF(AND(_xlpm.typ="H",_xlpm.kod&lt;&gt;"",_xlpm.del&lt;&gt;"Hybrid - Thrust + 2 connections"),INDEX(Hyb_Tech,MATCH(_xlpm.kod,Hyb_Code,0)),FT$72),FT$72))</f>
        <v>3</v>
      </c>
      <c r="FU109" s="88" cm="1">
        <f t="array" ref="FU109">_xlfn.LET(_xlpm.rad,$FO108+1,_xlpm.typ,INDEX($E$20:$E$68,_xlpm.rad),_xlpm.kod,INDEX(M$19:M$68,_xlpm.rad),_xlpm.del,INDEX($F$19:$F$68,_xlpm.rad),IFERROR(IF(AND(_xlpm.typ="H",_xlpm.kod&lt;&gt;"",_xlpm.del&lt;&gt;"Hybrid - Thrust + 2 connections"),INDEX(Hyb_Tech,MATCH(_xlpm.kod,Hyb_Code,0)),FU$72),FU$72))</f>
        <v>4</v>
      </c>
      <c r="FV109" s="88" cm="1">
        <f t="array" ref="FV109">_xlfn.LET(_xlpm.rad,$FO108+1,_xlpm.typ,INDEX($E$20:$E$68,_xlpm.rad),_xlpm.kod,INDEX(N$19:N$68,_xlpm.rad),_xlpm.del,INDEX($F$19:$F$68,_xlpm.rad),IFERROR(IF(AND(_xlpm.typ="H",_xlpm.kod&lt;&gt;"",_xlpm.del&lt;&gt;"Hybrid - Thrust + 2 connections"),INDEX(Hyb_Tech,MATCH(_xlpm.kod,Hyb_Code,0)),FV$72),FV$72))</f>
        <v>5</v>
      </c>
      <c r="FW109" s="88" cm="1">
        <f t="array" ref="FW109">_xlfn.LET(_xlpm.rad,$FO108+1,_xlpm.typ,INDEX($E$20:$E$68,_xlpm.rad),_xlpm.kod,INDEX(O$19:O$68,_xlpm.rad),_xlpm.del,INDEX($F$19:$F$68,_xlpm.rad),IFERROR(IF(AND(_xlpm.typ="H",_xlpm.kod&lt;&gt;"",_xlpm.del&lt;&gt;"Hybrid - Thrust + 2 connections"),INDEX(Hyb_Tech,MATCH(_xlpm.kod,Hyb_Code,0)),FW$72),FW$72))</f>
        <v>6</v>
      </c>
      <c r="FX109" s="88" cm="1">
        <f t="array" ref="FX109">_xlfn.LET(_xlpm.rad,$FO108+1,_xlpm.typ,INDEX($E$20:$E$68,_xlpm.rad),_xlpm.kod,INDEX(P$19:P$68,_xlpm.rad),_xlpm.del,INDEX($F$19:$F$68,_xlpm.rad),IFERROR(IF(AND(_xlpm.typ="H",_xlpm.kod&lt;&gt;"",_xlpm.del&lt;&gt;"Hybrid - Thrust + 2 connections"),INDEX(Hyb_Tech,MATCH(_xlpm.kod,Hyb_Code,0)),FX$72),FX$72))</f>
        <v>7</v>
      </c>
      <c r="FY109" s="88" cm="1">
        <f t="array" ref="FY109">_xlfn.LET(_xlpm.rad,$FO108+1,_xlpm.typ,INDEX($E$20:$E$68,_xlpm.rad),_xlpm.kod,INDEX(Q$19:Q$68,_xlpm.rad),_xlpm.del,INDEX($F$19:$F$68,_xlpm.rad),IFERROR(IF(AND(_xlpm.typ="H",_xlpm.kod&lt;&gt;"",_xlpm.del&lt;&gt;"Hybrid - Thrust + 2 connections"),INDEX(Hyb_Tech,MATCH(_xlpm.kod,Hyb_Code,0)),FY$72),FY$72))</f>
        <v>8</v>
      </c>
      <c r="FZ109" s="88" cm="1">
        <f t="array" ref="FZ109">_xlfn.LET(_xlpm.rad,$FO108+1,_xlpm.typ,INDEX($E$20:$E$68,_xlpm.rad),_xlpm.kod,INDEX(R$19:R$68,_xlpm.rad),_xlpm.del,INDEX($F$19:$F$68,_xlpm.rad),IFERROR(IF(AND(_xlpm.typ="H",_xlpm.kod&lt;&gt;"",_xlpm.del&lt;&gt;"Hybrid - Thrust + 2 connections"),INDEX(Hyb_Tech,MATCH(_xlpm.kod,Hyb_Code,0)),FZ$72),FZ$72))</f>
        <v>9</v>
      </c>
      <c r="GA109" s="88" cm="1">
        <f t="array" ref="GA109">_xlfn.LET(_xlpm.rad,$FO108+1,_xlpm.typ,INDEX($E$20:$E$68,_xlpm.rad),_xlpm.kod,INDEX(S$19:S$68,_xlpm.rad),_xlpm.del,INDEX($F$19:$F$68,_xlpm.rad),IFERROR(IF(AND(_xlpm.typ="H",_xlpm.kod&lt;&gt;"",_xlpm.del&lt;&gt;"Hybrid - Thrust + 2 connections"),INDEX(Hyb_Tech,MATCH(_xlpm.kod,Hyb_Code,0)),GA$72),GA$72))</f>
        <v>10</v>
      </c>
      <c r="GB109" s="88" cm="1">
        <f t="array" ref="GB109">_xlfn.LET(_xlpm.rad,$FO108+1,_xlpm.typ,INDEX($E$20:$E$68,_xlpm.rad),_xlpm.kod,INDEX(T$19:T$68,_xlpm.rad),_xlpm.del,INDEX($F$19:$F$68,_xlpm.rad),IFERROR(IF(AND(_xlpm.typ="H",_xlpm.kod&lt;&gt;"",_xlpm.del&lt;&gt;"Hybrid - Thrust + 2 connections"),INDEX(Hyb_Tech,MATCH(_xlpm.kod,Hyb_Code,0)),GB$72),GB$72))</f>
        <v>11</v>
      </c>
      <c r="GC109" s="88" cm="1">
        <f t="array" ref="GC109">_xlfn.LET(_xlpm.rad,$FO108+1,_xlpm.typ,INDEX($E$20:$E$68,_xlpm.rad),_xlpm.kod,INDEX(U$19:U$68,_xlpm.rad),_xlpm.del,INDEX($F$19:$F$68,_xlpm.rad),IFERROR(IF(AND(_xlpm.typ="H",_xlpm.kod&lt;&gt;"",_xlpm.del&lt;&gt;"Hybrid - Thrust + 2 connections"),INDEX(Hyb_Tech,MATCH(_xlpm.kod,Hyb_Code,0)),GC$72),GC$72))</f>
        <v>12</v>
      </c>
      <c r="GD109" s="88" cm="1">
        <f t="array" ref="GD109">_xlfn.LET(_xlpm.rad,$FO108+1,_xlpm.typ,INDEX($E$20:$E$68,_xlpm.rad),_xlpm.kod,INDEX(V$19:V$68,_xlpm.rad),_xlpm.del,INDEX($F$19:$F$68,_xlpm.rad),IFERROR(IF(AND(_xlpm.typ="H",_xlpm.kod&lt;&gt;"",_xlpm.del&lt;&gt;"Hybrid - Thrust + 2 connections"),INDEX(Hyb_Tech,MATCH(_xlpm.kod,Hyb_Code,0)),GD$72),GD$72))</f>
        <v>13</v>
      </c>
      <c r="GE109" s="88" cm="1">
        <f t="array" ref="GE109">_xlfn.LET(_xlpm.rad,$FO108+1,_xlpm.typ,INDEX($E$20:$E$68,_xlpm.rad),_xlpm.kod,INDEX(W$19:W$68,_xlpm.rad),_xlpm.del,INDEX($F$19:$F$68,_xlpm.rad),IFERROR(IF(AND(_xlpm.typ="H",_xlpm.kod&lt;&gt;"",_xlpm.del&lt;&gt;"Hybrid - Thrust + 2 connections"),INDEX(Hyb_Tech,MATCH(_xlpm.kod,Hyb_Code,0)),GE$72),GE$72))</f>
        <v>14</v>
      </c>
      <c r="GF109" s="88" cm="1">
        <f t="array" ref="GF109">_xlfn.LET(_xlpm.rad,$FO108+1,_xlpm.typ,INDEX($E$20:$E$68,_xlpm.rad),_xlpm.kod,INDEX(X$19:X$68,_xlpm.rad),_xlpm.del,INDEX($F$19:$F$68,_xlpm.rad),IFERROR(IF(AND(_xlpm.typ="H",_xlpm.kod&lt;&gt;"",_xlpm.del&lt;&gt;"Hybrid - Thrust + 2 connections"),INDEX(Hyb_Tech,MATCH(_xlpm.kod,Hyb_Code,0)),GF$72),GF$72))</f>
        <v>15</v>
      </c>
      <c r="GG109" s="88" cm="1">
        <f t="array" ref="GG109">_xlfn.LET(_xlpm.rad,$FO108+1,_xlpm.typ,INDEX($E$20:$E$68,_xlpm.rad),_xlpm.kod,INDEX(Y$19:Y$68,_xlpm.rad),_xlpm.del,INDEX($F$19:$F$68,_xlpm.rad),IFERROR(IF(AND(_xlpm.typ="H",_xlpm.kod&lt;&gt;"",_xlpm.del&lt;&gt;"Hybrid - Thrust + 2 connections"),INDEX(Hyb_Tech,MATCH(_xlpm.kod,Hyb_Code,0)),GG$72),GG$72))</f>
        <v>16</v>
      </c>
      <c r="GH109" s="88" cm="1">
        <f t="array" ref="GH109">_xlfn.LET(_xlpm.rad,$FO108+1,_xlpm.typ,INDEX($E$20:$E$68,_xlpm.rad),_xlpm.kod,INDEX(Z$19:Z$68,_xlpm.rad),_xlpm.del,INDEX($F$19:$F$68,_xlpm.rad),IFERROR(IF(AND(_xlpm.typ="H",_xlpm.kod&lt;&gt;"",_xlpm.del&lt;&gt;"Hybrid - Thrust + 2 connections"),INDEX(Hyb_Tech,MATCH(_xlpm.kod,Hyb_Code,0)),GH$72),GH$72))</f>
        <v>17</v>
      </c>
      <c r="GI109" s="88" cm="1">
        <f t="array" ref="GI109">_xlfn.LET(_xlpm.rad,$FO108+1,_xlpm.typ,INDEX($E$20:$E$68,_xlpm.rad),_xlpm.kod,INDEX(AA$19:AA$68,_xlpm.rad),_xlpm.del,INDEX($F$19:$F$68,_xlpm.rad),IFERROR(IF(AND(_xlpm.typ="H",_xlpm.kod&lt;&gt;"",_xlpm.del&lt;&gt;"Hybrid - Thrust + 2 connections"),INDEX(Hyb_Tech,MATCH(_xlpm.kod,Hyb_Code,0)),GI$72),GI$72))</f>
        <v>18</v>
      </c>
      <c r="GJ109" s="88" cm="1">
        <f t="array" ref="GJ109">_xlfn.LET(_xlpm.rad,$FO108+1,_xlpm.typ,INDEX($E$20:$E$68,_xlpm.rad),_xlpm.kod,INDEX(AB$19:AB$68,_xlpm.rad),_xlpm.del,INDEX($F$19:$F$68,_xlpm.rad),IFERROR(IF(AND(_xlpm.typ="H",_xlpm.kod&lt;&gt;"",_xlpm.del&lt;&gt;"Hybrid - Thrust + 2 connections"),INDEX(Hyb_Tech,MATCH(_xlpm.kod,Hyb_Code,0)),GJ$72),GJ$72))</f>
        <v>19</v>
      </c>
      <c r="GK109" s="88" cm="1">
        <f t="array" ref="GK109">_xlfn.LET(_xlpm.rad,$FO108+1,_xlpm.typ,INDEX($E$20:$E$68,_xlpm.rad),_xlpm.kod,INDEX(AC$19:AC$68,_xlpm.rad),_xlpm.del,INDEX($F$19:$F$68,_xlpm.rad),IFERROR(IF(AND(_xlpm.typ="H",_xlpm.kod&lt;&gt;"",_xlpm.del&lt;&gt;"Hybrid - Thrust + 2 connections"),INDEX(Hyb_Tech,MATCH(_xlpm.kod,Hyb_Code,0)),GK$72),GK$72))</f>
        <v>20</v>
      </c>
      <c r="GL109" s="88" cm="1">
        <f t="array" ref="GL109">_xlfn.LET(_xlpm.rad,$FO108+1,_xlpm.typ,INDEX($E$20:$E$68,_xlpm.rad),_xlpm.kod,INDEX(AD$19:AD$68,_xlpm.rad),_xlpm.del,INDEX($F$19:$F$68,_xlpm.rad),IFERROR(IF(AND(_xlpm.typ="H",_xlpm.kod&lt;&gt;"",_xlpm.del&lt;&gt;"Hybrid - Thrust + 2 connections"),INDEX(Hyb_Tech,MATCH(_xlpm.kod,Hyb_Code,0)),GL$72),GL$72))</f>
        <v>21</v>
      </c>
      <c r="GM109" s="88" cm="1">
        <f t="array" ref="GM109">_xlfn.LET(_xlpm.rad,$FO108+1,_xlpm.typ,INDEX($E$20:$E$68,_xlpm.rad),_xlpm.kod,INDEX(AE$19:AE$68,_xlpm.rad),_xlpm.del,INDEX($F$19:$F$68,_xlpm.rad),IFERROR(IF(AND(_xlpm.typ="H",_xlpm.kod&lt;&gt;"",_xlpm.del&lt;&gt;"Hybrid - Thrust + 2 connections"),INDEX(Hyb_Tech,MATCH(_xlpm.kod,Hyb_Code,0)),GM$72),GM$72))</f>
        <v>22</v>
      </c>
      <c r="GN109" s="88" cm="1">
        <f t="array" ref="GN109">_xlfn.LET(_xlpm.rad,$FO108+1,_xlpm.typ,INDEX($E$20:$E$68,_xlpm.rad),_xlpm.kod,INDEX(AF$19:AF$68,_xlpm.rad),_xlpm.del,INDEX($F$19:$F$68,_xlpm.rad),IFERROR(IF(AND(_xlpm.typ="H",_xlpm.kod&lt;&gt;"",_xlpm.del&lt;&gt;"Hybrid - Thrust + 2 connections"),INDEX(Hyb_Tech,MATCH(_xlpm.kod,Hyb_Code,0)),GN$72),GN$72))</f>
        <v>23</v>
      </c>
      <c r="GO109" s="88" cm="1">
        <f t="array" ref="GO109">_xlfn.LET(_xlpm.rad,$FO108+1,_xlpm.typ,INDEX($E$20:$E$68,_xlpm.rad),_xlpm.kod,INDEX(AG$19:AG$68,_xlpm.rad),_xlpm.del,INDEX($F$19:$F$68,_xlpm.rad),IFERROR(IF(AND(_xlpm.typ="H",_xlpm.kod&lt;&gt;"",_xlpm.del&lt;&gt;"Hybrid - Thrust + 2 connections"),INDEX(Hyb_Tech,MATCH(_xlpm.kod,Hyb_Code,0)),GO$72),GO$72))</f>
        <v>24</v>
      </c>
      <c r="GP109" s="88" cm="1">
        <f t="array" ref="GP109">_xlfn.LET(_xlpm.rad,$FO108+1,_xlpm.typ,INDEX($E$20:$E$68,_xlpm.rad),_xlpm.kod,INDEX(AH$19:AH$68,_xlpm.rad),_xlpm.del,INDEX($F$19:$F$68,_xlpm.rad),IFERROR(IF(AND(_xlpm.typ="H",_xlpm.kod&lt;&gt;"",_xlpm.del&lt;&gt;"Hybrid - Thrust + 2 connections"),INDEX(Hyb_Tech,MATCH(_xlpm.kod,Hyb_Code,0)),GP$72),GP$72))</f>
        <v>25</v>
      </c>
      <c r="GQ109" s="88" cm="1">
        <f t="array" ref="GQ109">_xlfn.LET(_xlpm.rad,$FO108+1,_xlpm.typ,INDEX($E$20:$E$68,_xlpm.rad),_xlpm.kod,INDEX(AI$19:AI$68,_xlpm.rad),_xlpm.del,INDEX($F$19:$F$68,_xlpm.rad),IFERROR(IF(AND(_xlpm.typ="H",_xlpm.kod&lt;&gt;"",_xlpm.del&lt;&gt;"Hybrid - Thrust + 2 connections"),INDEX(Hyb_Tech,MATCH(_xlpm.kod,Hyb_Code,0)),GQ$72),GQ$72))</f>
        <v>26</v>
      </c>
      <c r="GR109" s="88" cm="1">
        <f t="array" ref="GR109">_xlfn.LET(_xlpm.rad,$FO108+1,_xlpm.typ,INDEX($E$20:$E$68,_xlpm.rad),_xlpm.kod,INDEX(AJ$19:AJ$68,_xlpm.rad),_xlpm.del,INDEX($F$19:$F$68,_xlpm.rad),IFERROR(IF(AND(_xlpm.typ="H",_xlpm.kod&lt;&gt;"",_xlpm.del&lt;&gt;"Hybrid - Thrust + 2 connections"),INDEX(Hyb_Tech,MATCH(_xlpm.kod,Hyb_Code,0)),GR$72),GR$72))</f>
        <v>27</v>
      </c>
      <c r="GS109" s="88" cm="1">
        <f t="array" ref="GS109">_xlfn.LET(_xlpm.rad,$FO108+1,_xlpm.typ,INDEX($E$20:$E$68,_xlpm.rad),_xlpm.kod,INDEX(AK$19:AK$68,_xlpm.rad),_xlpm.del,INDEX($F$19:$F$68,_xlpm.rad),IFERROR(IF(AND(_xlpm.typ="H",_xlpm.kod&lt;&gt;"",_xlpm.del&lt;&gt;"Hybrid - Thrust + 2 connections"),INDEX(Hyb_Tech,MATCH(_xlpm.kod,Hyb_Code,0)),GS$72),GS$72))</f>
        <v>28</v>
      </c>
      <c r="GT109" s="88" cm="1">
        <f t="array" ref="GT109">_xlfn.LET(_xlpm.rad,$FO108+1,_xlpm.typ,INDEX($E$20:$E$68,_xlpm.rad),_xlpm.kod,INDEX(AL$19:AL$68,_xlpm.rad),_xlpm.del,INDEX($F$19:$F$68,_xlpm.rad),IFERROR(IF(AND(_xlpm.typ="H",_xlpm.kod&lt;&gt;"",_xlpm.del&lt;&gt;"Hybrid - Thrust + 2 connections"),INDEX(Hyb_Tech,MATCH(_xlpm.kod,Hyb_Code,0)),GT$72),GT$72))</f>
        <v>29</v>
      </c>
      <c r="GU109" s="88" cm="1">
        <f t="array" ref="GU109">_xlfn.LET(_xlpm.rad,$FO108+1,_xlpm.typ,INDEX($E$20:$E$68,_xlpm.rad),_xlpm.kod,INDEX(AM$19:AM$68,_xlpm.rad),_xlpm.del,INDEX($F$19:$F$68,_xlpm.rad),IFERROR(IF(AND(_xlpm.typ="H",_xlpm.kod&lt;&gt;"",_xlpm.del&lt;&gt;"Hybrid - Thrust + 2 connections"),INDEX(Hyb_Tech,MATCH(_xlpm.kod,Hyb_Code,0)),GU$72),GU$72))</f>
        <v>30</v>
      </c>
    </row>
    <row r="110" spans="7:203" x14ac:dyDescent="0.35">
      <c r="G110" s="116">
        <v>45705</v>
      </c>
      <c r="H110" s="117"/>
      <c r="I110" s="12" t="s">
        <v>2307</v>
      </c>
      <c r="J110" s="12" t="s">
        <v>2308</v>
      </c>
      <c r="EO110" s="88"/>
      <c r="EP110" s="88"/>
      <c r="EQ110" s="88"/>
      <c r="ER110" s="88"/>
      <c r="ES110" s="88"/>
      <c r="ET110" s="88"/>
      <c r="EU110" s="88"/>
      <c r="EV110" s="88"/>
      <c r="EW110" s="88"/>
      <c r="EX110" s="88"/>
      <c r="EY110" s="88"/>
      <c r="EZ110" s="88"/>
      <c r="FA110" s="88"/>
      <c r="FB110" s="88"/>
      <c r="FC110" s="88"/>
      <c r="FD110" s="88"/>
      <c r="FE110" s="88"/>
      <c r="FF110" s="88"/>
      <c r="FG110" s="88"/>
      <c r="FH110" s="88"/>
      <c r="FI110" s="88"/>
      <c r="FJ110" s="88"/>
      <c r="FK110" s="88"/>
      <c r="FL110" s="88"/>
      <c r="FM110" s="88"/>
      <c r="FN110" s="88"/>
      <c r="FP110" s="91" t="str" cm="1">
        <f t="array" ref="FP110">IFERROR(IF($T$5="",IF(COUNTIF(FR110:GU110,1)&gt;$FP$18,INDEX($FR$73:$GU$170,$FO108*5/2+1,MATCH(1,FR110:GU110,0)),""),IF(SUM(FR110:GU110)&gt;2,INDEX($FR$73:$GU$170,$FO108*5/2+1,MATCH(1,FR110:GU110,0)),"")),"")</f>
        <v/>
      </c>
      <c r="FQ110" s="88" t="str" cm="1">
        <f t="array" ref="FQ110">IFERROR(IF(LEFT(FP110,1)="C",IF(RIGHT(FP110,1)="+",LEFT(FP110,LEN(FP110)-1),CONCATENATE(FP110,"+")),IF(SUM($FR110:$GU110)&gt;$FP$18,INDEX($FR$73:$GU$170,$FO108*5/2+1,MATCH(0.5,FR110:GU110,0)),"")),"")</f>
        <v/>
      </c>
      <c r="FR110" s="88" t="str">
        <f t="shared" ref="FR110:GU110" si="3344">IF(AND($BV$6="D",LEFT(FR108,1)="C"),IF(COUNTIF($FR109:$GU109,FR109)&gt;$FP$18,INDEX(Hyb_Tech_Value,MATCH(FR108,Hyb_Code,0)),""),IF(COUNTIF($FR109:$GU109,FR109)&gt;$FP$18,INDEX(Hyb_Tech_Value,MATCH(FR108,Hyb_Code,0)),""))</f>
        <v/>
      </c>
      <c r="FS110" s="88" t="str">
        <f t="shared" si="3344"/>
        <v/>
      </c>
      <c r="FT110" s="88" t="str">
        <f t="shared" si="3344"/>
        <v/>
      </c>
      <c r="FU110" s="88" t="str">
        <f t="shared" si="3344"/>
        <v/>
      </c>
      <c r="FV110" s="88" t="str">
        <f t="shared" si="3344"/>
        <v/>
      </c>
      <c r="FW110" s="88" t="str">
        <f t="shared" si="3344"/>
        <v/>
      </c>
      <c r="FX110" s="88" t="str">
        <f t="shared" si="3344"/>
        <v/>
      </c>
      <c r="FY110" s="88" t="str">
        <f t="shared" si="3344"/>
        <v/>
      </c>
      <c r="FZ110" s="88" t="str">
        <f t="shared" si="3344"/>
        <v/>
      </c>
      <c r="GA110" s="88" t="str">
        <f t="shared" si="3344"/>
        <v/>
      </c>
      <c r="GB110" s="88" t="str">
        <f t="shared" si="3344"/>
        <v/>
      </c>
      <c r="GC110" s="88" t="str">
        <f t="shared" si="3344"/>
        <v/>
      </c>
      <c r="GD110" s="88" t="str">
        <f t="shared" si="3344"/>
        <v/>
      </c>
      <c r="GE110" s="88" t="str">
        <f t="shared" si="3344"/>
        <v/>
      </c>
      <c r="GF110" s="88" t="str">
        <f t="shared" si="3344"/>
        <v/>
      </c>
      <c r="GG110" s="88" t="str">
        <f t="shared" si="3344"/>
        <v/>
      </c>
      <c r="GH110" s="88" t="str">
        <f t="shared" si="3344"/>
        <v/>
      </c>
      <c r="GI110" s="88" t="str">
        <f t="shared" si="3344"/>
        <v/>
      </c>
      <c r="GJ110" s="88" t="str">
        <f t="shared" si="3344"/>
        <v/>
      </c>
      <c r="GK110" s="88" t="str">
        <f t="shared" si="3344"/>
        <v/>
      </c>
      <c r="GL110" s="88" t="str">
        <f t="shared" si="3344"/>
        <v/>
      </c>
      <c r="GM110" s="88" t="str">
        <f t="shared" si="3344"/>
        <v/>
      </c>
      <c r="GN110" s="88" t="str">
        <f t="shared" si="3344"/>
        <v/>
      </c>
      <c r="GO110" s="88" t="str">
        <f t="shared" si="3344"/>
        <v/>
      </c>
      <c r="GP110" s="88" t="str">
        <f t="shared" si="3344"/>
        <v/>
      </c>
      <c r="GQ110" s="88" t="str">
        <f t="shared" si="3344"/>
        <v/>
      </c>
      <c r="GR110" s="88" t="str">
        <f t="shared" si="3344"/>
        <v/>
      </c>
      <c r="GS110" s="88" t="str">
        <f t="shared" si="3344"/>
        <v/>
      </c>
      <c r="GT110" s="88" t="str">
        <f t="shared" si="3344"/>
        <v/>
      </c>
      <c r="GU110" s="88" t="str">
        <f t="shared" si="3344"/>
        <v/>
      </c>
    </row>
    <row r="111" spans="7:203" x14ac:dyDescent="0.35">
      <c r="G111" s="116">
        <v>45710</v>
      </c>
      <c r="H111" s="117"/>
      <c r="I111" s="12" t="s">
        <v>2309</v>
      </c>
      <c r="J111" s="12" t="s">
        <v>2310</v>
      </c>
      <c r="EG111" s="88">
        <f t="shared" ref="EG111" si="3345">COUNTIF(EK111:FN111,0.3)</f>
        <v>0</v>
      </c>
      <c r="EH111" s="88">
        <f t="shared" ref="EH111" si="3346">COUNTIF(EK111:FN111,0.5)</f>
        <v>0</v>
      </c>
      <c r="EI111" s="88" t="str">
        <f t="shared" ref="EI111" si="3347">IF(AND(T43="",OR(EG111&gt;5,EH111&gt;5)),"X",IF(SUM(EK111:FN111)&gt;5,"X",""))</f>
        <v/>
      </c>
      <c r="EK111" s="88" t="str">
        <f t="shared" ref="EK111" si="3348">IF($T$5="",IF(RIGHT(J57,4)="*0,5",0.5,IF(RIGHT(J57,4)="*0,3",0.3,IF(EK58&lt;&gt;"",1,""))),IF(EK58&lt;&gt;"",IF(OR(RIGHT(J57,4)="*0,5",RIGHT(J57,4)="*0,3"),0.5,1),""))</f>
        <v/>
      </c>
      <c r="EL111" s="88" t="str">
        <f t="shared" ref="EL111" si="3349">IF($T$5="",IF(RIGHT(K57,4)="*0,5",0.5,IF(RIGHT(K57,4)="*0,3",0.3,IF(EL58&lt;&gt;"",1,""))),IF(EL58&lt;&gt;"",IF(OR(RIGHT(K57,4)="*0,5",RIGHT(K57,4)="*0,3"),0.5,1),""))</f>
        <v/>
      </c>
      <c r="EM111" s="88" t="str">
        <f t="shared" ref="EM111" si="3350">IF($T$5="",IF(RIGHT(L57,4)="*0,5",0.5,IF(RIGHT(L57,4)="*0,3",0.3,IF(EM58&lt;&gt;"",1,""))),IF(EM58&lt;&gt;"",IF(OR(RIGHT(L57,4)="*0,5",RIGHT(L57,4)="*0,3"),0.5,1),""))</f>
        <v/>
      </c>
      <c r="EN111" s="88" t="str">
        <f t="shared" ref="EN111" si="3351">IF($T$5="",IF(RIGHT(M57,4)="*0,5",0.5,IF(RIGHT(M57,4)="*0,3",0.3,IF(EN58&lt;&gt;"",1,""))),IF(EN58&lt;&gt;"",IF(OR(RIGHT(M57,4)="*0,5",RIGHT(M57,4)="*0,3"),0.5,1),""))</f>
        <v/>
      </c>
      <c r="EO111" s="88" t="str">
        <f t="shared" ref="EO111" si="3352">IF($T$5="",IF(RIGHT(N57,4)="*0,5",0.5,IF(RIGHT(N57,4)="*0,3",0.3,IF(EO58&lt;&gt;"",1,""))),IF(EO58&lt;&gt;"",IF(OR(RIGHT(N57,4)="*0,5",RIGHT(N57,4)="*0,3"),0.5,1),""))</f>
        <v/>
      </c>
      <c r="EP111" s="88" t="str">
        <f t="shared" ref="EP111" si="3353">IF($T$5="",IF(RIGHT(O57,4)="*0,5",0.5,IF(RIGHT(O57,4)="*0,3",0.3,IF(EP58&lt;&gt;"",1,""))),IF(EP58&lt;&gt;"",IF(OR(RIGHT(O57,4)="*0,5",RIGHT(O57,4)="*0,3"),0.5,1),""))</f>
        <v/>
      </c>
      <c r="EQ111" s="88" t="str">
        <f t="shared" ref="EQ111" si="3354">IF($T$5="",IF(RIGHT(P57,4)="*0,5",0.5,IF(RIGHT(P57,4)="*0,3",0.3,IF(EQ58&lt;&gt;"",1,""))),IF(EQ58&lt;&gt;"",IF(OR(RIGHT(P57,4)="*0,5",RIGHT(P57,4)="*0,3"),0.5,1),""))</f>
        <v/>
      </c>
      <c r="ER111" s="88" t="str">
        <f t="shared" ref="ER111" si="3355">IF($T$5="",IF(RIGHT(Q57,4)="*0,5",0.5,IF(RIGHT(Q57,4)="*0,3",0.3,IF(ER58&lt;&gt;"",1,""))),IF(ER58&lt;&gt;"",IF(OR(RIGHT(Q57,4)="*0,5",RIGHT(Q57,4)="*0,3"),0.5,1),""))</f>
        <v/>
      </c>
      <c r="ES111" s="88" t="str">
        <f t="shared" ref="ES111" si="3356">IF($T$5="",IF(RIGHT(R57,4)="*0,5",0.5,IF(RIGHT(R57,4)="*0,3",0.3,IF(ES58&lt;&gt;"",1,""))),IF(ES58&lt;&gt;"",IF(OR(RIGHT(R57,4)="*0,5",RIGHT(R57,4)="*0,3"),0.5,1),""))</f>
        <v/>
      </c>
      <c r="ET111" s="88" t="str">
        <f t="shared" ref="ET111" si="3357">IF($T$5="",IF(RIGHT(S57,4)="*0,5",0.5,IF(RIGHT(S57,4)="*0,3",0.3,IF(ET58&lt;&gt;"",1,""))),IF(ET58&lt;&gt;"",IF(OR(RIGHT(S57,4)="*0,5",RIGHT(S57,4)="*0,3"),0.5,1),""))</f>
        <v/>
      </c>
      <c r="EU111" s="88" t="str">
        <f t="shared" ref="EU111" si="3358">IF($T$5="",IF(RIGHT(T57,4)="*0,5",0.5,IF(RIGHT(T57,4)="*0,3",0.3,IF(EU58&lt;&gt;"",1,""))),IF(EU58&lt;&gt;"",IF(OR(RIGHT(T57,4)="*0,5",RIGHT(T57,4)="*0,3"),0.5,1),""))</f>
        <v/>
      </c>
      <c r="EV111" s="88" t="str">
        <f t="shared" ref="EV111" si="3359">IF($T$5="",IF(RIGHT(U57,4)="*0,5",0.5,IF(RIGHT(U57,4)="*0,3",0.3,IF(EV58&lt;&gt;"",1,""))),IF(EV58&lt;&gt;"",IF(OR(RIGHT(U57,4)="*0,5",RIGHT(U57,4)="*0,3"),0.5,1),""))</f>
        <v/>
      </c>
      <c r="EW111" s="88" t="str">
        <f t="shared" ref="EW111" si="3360">IF($T$5="",IF(RIGHT(V57,4)="*0,5",0.5,IF(RIGHT(V57,4)="*0,3",0.3,IF(EW58&lt;&gt;"",1,""))),IF(EW58&lt;&gt;"",IF(OR(RIGHT(V57,4)="*0,5",RIGHT(V57,4)="*0,3"),0.5,1),""))</f>
        <v/>
      </c>
      <c r="EX111" s="88" t="str">
        <f t="shared" ref="EX111" si="3361">IF($T$5="",IF(RIGHT(W57,4)="*0,5",0.5,IF(RIGHT(W57,4)="*0,3",0.3,IF(EX58&lt;&gt;"",1,""))),IF(EX58&lt;&gt;"",IF(OR(RIGHT(W57,4)="*0,5",RIGHT(W57,4)="*0,3"),0.5,1),""))</f>
        <v/>
      </c>
      <c r="EY111" s="88" t="str">
        <f t="shared" ref="EY111" si="3362">IF($T$5="",IF(RIGHT(X57,4)="*0,5",0.5,IF(RIGHT(X57,4)="*0,3",0.3,IF(EY58&lt;&gt;"",1,""))),IF(EY58&lt;&gt;"",IF(OR(RIGHT(X57,4)="*0,5",RIGHT(X57,4)="*0,3"),0.5,1),""))</f>
        <v/>
      </c>
      <c r="EZ111" s="88" t="str">
        <f t="shared" ref="EZ111" si="3363">IF($T$5="",IF(RIGHT(Y57,4)="*0,5",0.5,IF(RIGHT(Y57,4)="*0,3",0.3,IF(EZ58&lt;&gt;"",1,""))),IF(EZ58&lt;&gt;"",IF(OR(RIGHT(Y57,4)="*0,5",RIGHT(Y57,4)="*0,3"),0.5,1),""))</f>
        <v/>
      </c>
      <c r="FA111" s="88" t="str">
        <f t="shared" ref="FA111" si="3364">IF($T$5="",IF(RIGHT(Z57,4)="*0,5",0.5,IF(RIGHT(Z57,4)="*0,3",0.3,IF(FA58&lt;&gt;"",1,""))),IF(FA58&lt;&gt;"",IF(OR(RIGHT(Z57,4)="*0,5",RIGHT(Z57,4)="*0,3"),0.5,1),""))</f>
        <v/>
      </c>
      <c r="FB111" s="88" t="str">
        <f t="shared" ref="FB111" si="3365">IF($T$5="",IF(RIGHT(AA57,4)="*0,5",0.5,IF(RIGHT(AA57,4)="*0,3",0.3,IF(FB58&lt;&gt;"",1,""))),IF(FB58&lt;&gt;"",IF(OR(RIGHT(AA57,4)="*0,5",RIGHT(AA57,4)="*0,3"),0.5,1),""))</f>
        <v/>
      </c>
      <c r="FC111" s="88" t="str">
        <f t="shared" ref="FC111" si="3366">IF($T$5="",IF(RIGHT(AB57,4)="*0,5",0.5,IF(RIGHT(AB57,4)="*0,3",0.3,IF(FC58&lt;&gt;"",1,""))),IF(FC58&lt;&gt;"",IF(OR(RIGHT(AB57,4)="*0,5",RIGHT(AB57,4)="*0,3"),0.5,1),""))</f>
        <v/>
      </c>
      <c r="FD111" s="88" t="str">
        <f t="shared" ref="FD111" si="3367">IF($T$5="",IF(RIGHT(AC57,4)="*0,5",0.5,IF(RIGHT(AC57,4)="*0,3",0.3,IF(FD58&lt;&gt;"",1,""))),IF(FD58&lt;&gt;"",IF(OR(RIGHT(AC57,4)="*0,5",RIGHT(AC57,4)="*0,3"),0.5,1),""))</f>
        <v/>
      </c>
      <c r="FE111" s="88" t="str">
        <f t="shared" ref="FE111" si="3368">IF($T$5="",IF(RIGHT(AD57,4)="*0,5",0.5,IF(RIGHT(AD57,4)="*0,3",0.3,IF(FE58&lt;&gt;"",1,""))),IF(FE58&lt;&gt;"",IF(OR(RIGHT(AD57,4)="*0,5",RIGHT(AD57,4)="*0,3"),0.5,1),""))</f>
        <v/>
      </c>
      <c r="FF111" s="88" t="str">
        <f t="shared" ref="FF111" si="3369">IF($T$5="",IF(RIGHT(AE57,4)="*0,5",0.5,IF(RIGHT(AE57,4)="*0,3",0.3,IF(FF58&lt;&gt;"",1,""))),IF(FF58&lt;&gt;"",IF(OR(RIGHT(AE57,4)="*0,5",RIGHT(AE57,4)="*0,3"),0.5,1),""))</f>
        <v/>
      </c>
      <c r="FG111" s="88" t="str">
        <f t="shared" ref="FG111" si="3370">IF($T$5="",IF(RIGHT(AF57,4)="*0,5",0.5,IF(RIGHT(AF57,4)="*0,3",0.3,IF(FG58&lt;&gt;"",1,""))),IF(FG58&lt;&gt;"",IF(OR(RIGHT(AF57,4)="*0,5",RIGHT(AF57,4)="*0,3"),0.5,1),""))</f>
        <v/>
      </c>
      <c r="FH111" s="88" t="str">
        <f t="shared" ref="FH111" si="3371">IF($T$5="",IF(RIGHT(AG57,4)="*0,5",0.5,IF(RIGHT(AG57,4)="*0,3",0.3,IF(FH58&lt;&gt;"",1,""))),IF(FH58&lt;&gt;"",IF(OR(RIGHT(AG57,4)="*0,5",RIGHT(AG57,4)="*0,3"),0.5,1),""))</f>
        <v/>
      </c>
      <c r="FI111" s="88" t="str">
        <f t="shared" ref="FI111" si="3372">IF($T$5="",IF(RIGHT(AH57,4)="*0,5",0.5,IF(RIGHT(AH57,4)="*0,3",0.3,IF(FI58&lt;&gt;"",1,""))),IF(FI58&lt;&gt;"",IF(OR(RIGHT(AH57,4)="*0,5",RIGHT(AH57,4)="*0,3"),0.5,1),""))</f>
        <v/>
      </c>
      <c r="FJ111" s="88" t="str">
        <f t="shared" ref="FJ111" si="3373">IF($T$5="",IF(RIGHT(AI57,4)="*0,5",0.5,IF(RIGHT(AI57,4)="*0,3",0.3,IF(FJ58&lt;&gt;"",1,""))),IF(FJ58&lt;&gt;"",IF(OR(RIGHT(AI57,4)="*0,5",RIGHT(AI57,4)="*0,3"),0.5,1),""))</f>
        <v/>
      </c>
      <c r="FK111" s="88" t="str">
        <f t="shared" ref="FK111" si="3374">IF($T$5="",IF(RIGHT(AJ57,4)="*0,5",0.5,IF(RIGHT(AJ57,4)="*0,3",0.3,IF(FK58&lt;&gt;"",1,""))),IF(FK58&lt;&gt;"",IF(OR(RIGHT(AJ57,4)="*0,5",RIGHT(AJ57,4)="*0,3"),0.5,1),""))</f>
        <v/>
      </c>
      <c r="FL111" s="88" t="str">
        <f t="shared" ref="FL111" si="3375">IF($T$5="",IF(RIGHT(AK57,4)="*0,5",0.5,IF(RIGHT(AK57,4)="*0,3",0.3,IF(FL58&lt;&gt;"",1,""))),IF(FL58&lt;&gt;"",IF(OR(RIGHT(AK57,4)="*0,5",RIGHT(AK57,4)="*0,3"),0.5,1),""))</f>
        <v/>
      </c>
      <c r="FM111" s="88" t="str">
        <f t="shared" ref="FM111" si="3376">IF($T$5="",IF(RIGHT(AL57,4)="*0,5",0.5,IF(RIGHT(AL57,4)="*0,3",0.3,IF(FM58&lt;&gt;"",1,""))),IF(FM58&lt;&gt;"",IF(OR(RIGHT(AL57,4)="*0,5",RIGHT(AL57,4)="*0,3"),0.5,1),""))</f>
        <v/>
      </c>
      <c r="FN111" s="88" t="str">
        <f t="shared" ref="FN111" si="3377">IF($T$5="",IF(RIGHT(AM57,4)="*0,5",0.5,IF(RIGHT(AM57,4)="*0,3",0.3,IF(FN58&lt;&gt;"",1,""))),IF(FN58&lt;&gt;"",IF(OR(RIGHT(AM57,4)="*0,5",RIGHT(AM57,4)="*0,3"),0.5,1),""))</f>
        <v/>
      </c>
      <c r="FQ111" s="88"/>
      <c r="FR111" s="88" t="str">
        <f t="shared" ref="FR111:GU111" si="3378">IFERROR(IF(LEFT(FR108,FIND("*",FR108)-1)=LEFT($FQ$73,FIND("*",$FQ$73)-1),0.5,""),"")</f>
        <v/>
      </c>
      <c r="FS111" s="88" t="str">
        <f t="shared" si="3378"/>
        <v/>
      </c>
      <c r="FT111" s="88" t="str">
        <f t="shared" si="3378"/>
        <v/>
      </c>
      <c r="FU111" s="88" t="str">
        <f t="shared" si="3378"/>
        <v/>
      </c>
      <c r="FV111" s="88" t="str">
        <f t="shared" si="3378"/>
        <v/>
      </c>
      <c r="FW111" s="88" t="str">
        <f t="shared" si="3378"/>
        <v/>
      </c>
      <c r="FX111" s="88" t="str">
        <f t="shared" si="3378"/>
        <v/>
      </c>
      <c r="FY111" s="88" t="str">
        <f t="shared" si="3378"/>
        <v/>
      </c>
      <c r="FZ111" s="88" t="str">
        <f t="shared" si="3378"/>
        <v/>
      </c>
      <c r="GA111" s="88" t="str">
        <f t="shared" si="3378"/>
        <v/>
      </c>
      <c r="GB111" s="88" t="str">
        <f t="shared" si="3378"/>
        <v/>
      </c>
      <c r="GC111" s="88" t="str">
        <f t="shared" si="3378"/>
        <v/>
      </c>
      <c r="GD111" s="88" t="str">
        <f t="shared" si="3378"/>
        <v/>
      </c>
      <c r="GE111" s="88" t="str">
        <f t="shared" si="3378"/>
        <v/>
      </c>
      <c r="GF111" s="88" t="str">
        <f t="shared" si="3378"/>
        <v/>
      </c>
      <c r="GG111" s="88" t="str">
        <f t="shared" si="3378"/>
        <v/>
      </c>
      <c r="GH111" s="88" t="str">
        <f t="shared" si="3378"/>
        <v/>
      </c>
      <c r="GI111" s="88" t="str">
        <f t="shared" si="3378"/>
        <v/>
      </c>
      <c r="GJ111" s="88" t="str">
        <f t="shared" si="3378"/>
        <v/>
      </c>
      <c r="GK111" s="88" t="str">
        <f t="shared" si="3378"/>
        <v/>
      </c>
      <c r="GL111" s="88" t="str">
        <f t="shared" si="3378"/>
        <v/>
      </c>
      <c r="GM111" s="88" t="str">
        <f t="shared" si="3378"/>
        <v/>
      </c>
      <c r="GN111" s="88" t="str">
        <f t="shared" si="3378"/>
        <v/>
      </c>
      <c r="GO111" s="88" t="str">
        <f t="shared" si="3378"/>
        <v/>
      </c>
      <c r="GP111" s="88" t="str">
        <f t="shared" si="3378"/>
        <v/>
      </c>
      <c r="GQ111" s="88" t="str">
        <f t="shared" si="3378"/>
        <v/>
      </c>
      <c r="GR111" s="88" t="str">
        <f t="shared" si="3378"/>
        <v/>
      </c>
      <c r="GS111" s="88" t="str">
        <f t="shared" si="3378"/>
        <v/>
      </c>
      <c r="GT111" s="88" t="str">
        <f t="shared" si="3378"/>
        <v/>
      </c>
      <c r="GU111" s="88" t="str">
        <f t="shared" si="3378"/>
        <v/>
      </c>
    </row>
    <row r="112" spans="7:203" x14ac:dyDescent="0.35">
      <c r="G112" s="116">
        <v>45714</v>
      </c>
      <c r="H112" s="117"/>
      <c r="I112" s="12" t="s">
        <v>2313</v>
      </c>
      <c r="J112" s="12" t="s">
        <v>2316</v>
      </c>
      <c r="EG112" s="156"/>
      <c r="EH112" s="156"/>
      <c r="EI112" s="156"/>
      <c r="EJ112" s="156"/>
      <c r="EK112" s="156"/>
      <c r="EL112" s="156"/>
      <c r="EM112" s="103"/>
      <c r="EN112" s="103"/>
      <c r="EO112" s="103"/>
      <c r="EP112" s="103"/>
      <c r="EQ112" s="103"/>
      <c r="ER112" s="103"/>
      <c r="ES112" s="103"/>
      <c r="ET112" s="103"/>
      <c r="EU112" s="103"/>
      <c r="EV112" s="103"/>
      <c r="EW112" s="103"/>
      <c r="EX112" s="103"/>
      <c r="EY112" s="103"/>
      <c r="EZ112" s="103"/>
      <c r="FA112" s="103"/>
      <c r="FB112" s="103"/>
      <c r="FC112" s="103"/>
      <c r="FD112" s="103"/>
      <c r="FE112" s="103"/>
      <c r="FF112" s="103"/>
      <c r="FG112" s="103"/>
      <c r="FH112" s="103"/>
      <c r="FI112" s="103"/>
      <c r="FJ112" s="103"/>
      <c r="FK112" s="103"/>
      <c r="FL112" s="103"/>
      <c r="FM112" s="103"/>
      <c r="FN112" s="103"/>
      <c r="FQ112" s="88"/>
      <c r="FR112" s="88"/>
      <c r="FS112" s="88"/>
      <c r="FT112" s="88"/>
      <c r="FU112" s="88"/>
      <c r="FV112" s="88"/>
      <c r="FW112" s="88"/>
      <c r="FX112" s="88"/>
      <c r="FY112" s="88"/>
      <c r="FZ112" s="88"/>
      <c r="GA112" s="88"/>
      <c r="GB112" s="88"/>
      <c r="GC112" s="88"/>
      <c r="GD112" s="88"/>
      <c r="GE112" s="88"/>
      <c r="GF112" s="88"/>
      <c r="GG112" s="88"/>
      <c r="GH112" s="88"/>
      <c r="GI112" s="88"/>
      <c r="GJ112" s="88"/>
      <c r="GK112" s="88"/>
      <c r="GL112" s="88"/>
      <c r="GM112" s="88"/>
      <c r="GN112" s="88"/>
      <c r="GO112" s="88"/>
      <c r="GP112" s="88"/>
      <c r="GQ112" s="88"/>
      <c r="GR112" s="88"/>
      <c r="GS112" s="88"/>
      <c r="GT112" s="88"/>
      <c r="GU112" s="88"/>
    </row>
    <row r="113" spans="7:203" x14ac:dyDescent="0.35">
      <c r="G113" s="116">
        <v>45714</v>
      </c>
      <c r="H113" s="117"/>
      <c r="I113" s="12" t="s">
        <v>2314</v>
      </c>
      <c r="J113" s="12" t="s">
        <v>2315</v>
      </c>
      <c r="EO113" s="88"/>
      <c r="EP113" s="88"/>
      <c r="EQ113" s="88"/>
      <c r="ER113" s="88"/>
      <c r="ES113" s="88"/>
      <c r="ET113" s="88"/>
      <c r="EU113" s="88"/>
      <c r="EV113" s="88"/>
      <c r="EW113" s="88"/>
      <c r="EX113" s="88"/>
      <c r="EY113" s="88"/>
      <c r="EZ113" s="88"/>
      <c r="FA113" s="88"/>
      <c r="FB113" s="88"/>
      <c r="FC113" s="88"/>
      <c r="FD113" s="88"/>
      <c r="FE113" s="88"/>
      <c r="FF113" s="88"/>
      <c r="FG113" s="88"/>
      <c r="FH113" s="88"/>
      <c r="FI113" s="88"/>
      <c r="FJ113" s="88"/>
      <c r="FK113" s="88"/>
      <c r="FL113" s="88"/>
      <c r="FM113" s="88"/>
      <c r="FN113" s="88"/>
      <c r="FO113" s="91">
        <v>16</v>
      </c>
      <c r="FP113" s="88" t="str">
        <f t="shared" ref="FP113" si="3379">IF(SUM(FR116:GU116)&gt;2,FQ113,"")</f>
        <v/>
      </c>
      <c r="FQ113" s="88" t="str" cm="1">
        <f t="array" ref="FQ113">IF(SUM(FR115:GU115)&gt;0,_xlfn.LET(_xlpm.area,FR113:GU113,_xlpm.texts,_xlfn.UNIQUE(_xlfn._xlws.FILTER(_xlpm.area,_xlpm.area&lt;&gt;"")),_xlpm.number,COUNTIF(_xlpm.area,_xlpm.texts),INDEX(_xlpm.texts,MATCH(MAX(_xlpm.number),_xlpm.number,0))),"")</f>
        <v/>
      </c>
      <c r="FR113" s="88" cm="1">
        <f t="array" ref="FR113">_xlfn.LET(_xlpm.rad,$FO113+1,_xlpm.typ,INDEX($E$20:$E$68,_xlpm.rad),_xlpm.kod,INDEX(J$19:J$68,_xlpm.rad),IFERROR(IF(AND(_xlpm.typ="H",_xlpm.kod&lt;&gt;""),UPPER(_xlpm.kod),FR$18),FR$18))</f>
        <v>1</v>
      </c>
      <c r="FS113" s="88" cm="1">
        <f t="array" ref="FS113">_xlfn.LET(_xlpm.rad,$FO113+1,_xlpm.typ,INDEX($E$20:$E$68,_xlpm.rad),_xlpm.kod,INDEX(K$19:K$68,_xlpm.rad),IFERROR(IF(AND(_xlpm.typ="H",_xlpm.kod&lt;&gt;""),UPPER(_xlpm.kod),FS$18),FS$18))</f>
        <v>2</v>
      </c>
      <c r="FT113" s="88" cm="1">
        <f t="array" ref="FT113">_xlfn.LET(_xlpm.rad,$FO113+1,_xlpm.typ,INDEX($E$20:$E$68,_xlpm.rad),_xlpm.kod,INDEX(L$19:L$68,_xlpm.rad),IFERROR(IF(AND(_xlpm.typ="H",_xlpm.kod&lt;&gt;""),UPPER(_xlpm.kod),FT$18),FT$18))</f>
        <v>3</v>
      </c>
      <c r="FU113" s="88" cm="1">
        <f t="array" ref="FU113">_xlfn.LET(_xlpm.rad,$FO113+1,_xlpm.typ,INDEX($E$20:$E$68,_xlpm.rad),_xlpm.kod,INDEX(M$19:M$68,_xlpm.rad),IFERROR(IF(AND(_xlpm.typ="H",_xlpm.kod&lt;&gt;""),UPPER(_xlpm.kod),FU$18),FU$18))</f>
        <v>4</v>
      </c>
      <c r="FV113" s="88" cm="1">
        <f t="array" ref="FV113">_xlfn.LET(_xlpm.rad,$FO113+1,_xlpm.typ,INDEX($E$20:$E$68,_xlpm.rad),_xlpm.kod,INDEX(N$19:N$68,_xlpm.rad),IFERROR(IF(AND(_xlpm.typ="H",_xlpm.kod&lt;&gt;""),UPPER(_xlpm.kod),FV$18),FV$18))</f>
        <v>5</v>
      </c>
      <c r="FW113" s="88" cm="1">
        <f t="array" ref="FW113">_xlfn.LET(_xlpm.rad,$FO113+1,_xlpm.typ,INDEX($E$20:$E$68,_xlpm.rad),_xlpm.kod,INDEX(O$19:O$68,_xlpm.rad),IFERROR(IF(AND(_xlpm.typ="H",_xlpm.kod&lt;&gt;""),UPPER(_xlpm.kod),FW$18),FW$18))</f>
        <v>6</v>
      </c>
      <c r="FX113" s="88" cm="1">
        <f t="array" ref="FX113">_xlfn.LET(_xlpm.rad,$FO113+1,_xlpm.typ,INDEX($E$20:$E$68,_xlpm.rad),_xlpm.kod,INDEX(P$19:P$68,_xlpm.rad),IFERROR(IF(AND(_xlpm.typ="H",_xlpm.kod&lt;&gt;""),UPPER(_xlpm.kod),FX$18),FX$18))</f>
        <v>7</v>
      </c>
      <c r="FY113" s="88" cm="1">
        <f t="array" ref="FY113">_xlfn.LET(_xlpm.rad,$FO113+1,_xlpm.typ,INDEX($E$20:$E$68,_xlpm.rad),_xlpm.kod,INDEX(Q$19:Q$68,_xlpm.rad),IFERROR(IF(AND(_xlpm.typ="H",_xlpm.kod&lt;&gt;""),UPPER(_xlpm.kod),FY$18),FY$18))</f>
        <v>8</v>
      </c>
      <c r="FZ113" s="88" cm="1">
        <f t="array" ref="FZ113">_xlfn.LET(_xlpm.rad,$FO113+1,_xlpm.typ,INDEX($E$20:$E$68,_xlpm.rad),_xlpm.kod,INDEX(R$19:R$68,_xlpm.rad),IFERROR(IF(AND(_xlpm.typ="H",_xlpm.kod&lt;&gt;""),UPPER(_xlpm.kod),FZ$18),FZ$18))</f>
        <v>9</v>
      </c>
      <c r="GA113" s="88" cm="1">
        <f t="array" ref="GA113">_xlfn.LET(_xlpm.rad,$FO113+1,_xlpm.typ,INDEX($E$20:$E$68,_xlpm.rad),_xlpm.kod,INDEX(S$19:S$68,_xlpm.rad),IFERROR(IF(AND(_xlpm.typ="H",_xlpm.kod&lt;&gt;""),UPPER(_xlpm.kod),GA$18),GA$18))</f>
        <v>10</v>
      </c>
      <c r="GB113" s="88" cm="1">
        <f t="array" ref="GB113">_xlfn.LET(_xlpm.rad,$FO113+1,_xlpm.typ,INDEX($E$20:$E$68,_xlpm.rad),_xlpm.kod,INDEX(T$19:T$68,_xlpm.rad),IFERROR(IF(AND(_xlpm.typ="H",_xlpm.kod&lt;&gt;""),UPPER(_xlpm.kod),GB$18),GB$18))</f>
        <v>11</v>
      </c>
      <c r="GC113" s="88" cm="1">
        <f t="array" ref="GC113">_xlfn.LET(_xlpm.rad,$FO113+1,_xlpm.typ,INDEX($E$20:$E$68,_xlpm.rad),_xlpm.kod,INDEX(U$19:U$68,_xlpm.rad),IFERROR(IF(AND(_xlpm.typ="H",_xlpm.kod&lt;&gt;""),UPPER(_xlpm.kod),GC$18),GC$18))</f>
        <v>12</v>
      </c>
      <c r="GD113" s="88" cm="1">
        <f t="array" ref="GD113">_xlfn.LET(_xlpm.rad,$FO113+1,_xlpm.typ,INDEX($E$20:$E$68,_xlpm.rad),_xlpm.kod,INDEX(V$19:V$68,_xlpm.rad),IFERROR(IF(AND(_xlpm.typ="H",_xlpm.kod&lt;&gt;""),UPPER(_xlpm.kod),GD$18),GD$18))</f>
        <v>13</v>
      </c>
      <c r="GE113" s="88" cm="1">
        <f t="array" ref="GE113">_xlfn.LET(_xlpm.rad,$FO113+1,_xlpm.typ,INDEX($E$20:$E$68,_xlpm.rad),_xlpm.kod,INDEX(W$19:W$68,_xlpm.rad),IFERROR(IF(AND(_xlpm.typ="H",_xlpm.kod&lt;&gt;""),UPPER(_xlpm.kod),GE$18),GE$18))</f>
        <v>14</v>
      </c>
      <c r="GF113" s="88" cm="1">
        <f t="array" ref="GF113">_xlfn.LET(_xlpm.rad,$FO113+1,_xlpm.typ,INDEX($E$20:$E$68,_xlpm.rad),_xlpm.kod,INDEX(X$19:X$68,_xlpm.rad),IFERROR(IF(AND(_xlpm.typ="H",_xlpm.kod&lt;&gt;""),UPPER(_xlpm.kod),GF$18),GF$18))</f>
        <v>15</v>
      </c>
      <c r="GG113" s="88" cm="1">
        <f t="array" ref="GG113">_xlfn.LET(_xlpm.rad,$FO113+1,_xlpm.typ,INDEX($E$20:$E$68,_xlpm.rad),_xlpm.kod,INDEX(Y$19:Y$68,_xlpm.rad),IFERROR(IF(AND(_xlpm.typ="H",_xlpm.kod&lt;&gt;""),UPPER(_xlpm.kod),GG$18),GG$18))</f>
        <v>16</v>
      </c>
      <c r="GH113" s="88" cm="1">
        <f t="array" ref="GH113">_xlfn.LET(_xlpm.rad,$FO113+1,_xlpm.typ,INDEX($E$20:$E$68,_xlpm.rad),_xlpm.kod,INDEX(Z$19:Z$68,_xlpm.rad),IFERROR(IF(AND(_xlpm.typ="H",_xlpm.kod&lt;&gt;""),UPPER(_xlpm.kod),GH$18),GH$18))</f>
        <v>17</v>
      </c>
      <c r="GI113" s="88" cm="1">
        <f t="array" ref="GI113">_xlfn.LET(_xlpm.rad,$FO113+1,_xlpm.typ,INDEX($E$20:$E$68,_xlpm.rad),_xlpm.kod,INDEX(AA$19:AA$68,_xlpm.rad),IFERROR(IF(AND(_xlpm.typ="H",_xlpm.kod&lt;&gt;""),UPPER(_xlpm.kod),GI$18),GI$18))</f>
        <v>18</v>
      </c>
      <c r="GJ113" s="88" cm="1">
        <f t="array" ref="GJ113">_xlfn.LET(_xlpm.rad,$FO113+1,_xlpm.typ,INDEX($E$20:$E$68,_xlpm.rad),_xlpm.kod,INDEX(AB$19:AB$68,_xlpm.rad),IFERROR(IF(AND(_xlpm.typ="H",_xlpm.kod&lt;&gt;""),UPPER(_xlpm.kod),GJ$18),GJ$18))</f>
        <v>19</v>
      </c>
      <c r="GK113" s="88" cm="1">
        <f t="array" ref="GK113">_xlfn.LET(_xlpm.rad,$FO113+1,_xlpm.typ,INDEX($E$20:$E$68,_xlpm.rad),_xlpm.kod,INDEX(AC$19:AC$68,_xlpm.rad),IFERROR(IF(AND(_xlpm.typ="H",_xlpm.kod&lt;&gt;""),UPPER(_xlpm.kod),GK$18),GK$18))</f>
        <v>20</v>
      </c>
      <c r="GL113" s="88" cm="1">
        <f t="array" ref="GL113">_xlfn.LET(_xlpm.rad,$FO113+1,_xlpm.typ,INDEX($E$20:$E$68,_xlpm.rad),_xlpm.kod,INDEX(AD$19:AD$68,_xlpm.rad),IFERROR(IF(AND(_xlpm.typ="H",_xlpm.kod&lt;&gt;""),UPPER(_xlpm.kod),GL$18),GL$18))</f>
        <v>21</v>
      </c>
      <c r="GM113" s="88" cm="1">
        <f t="array" ref="GM113">_xlfn.LET(_xlpm.rad,$FO113+1,_xlpm.typ,INDEX($E$20:$E$68,_xlpm.rad),_xlpm.kod,INDEX(AE$19:AE$68,_xlpm.rad),IFERROR(IF(AND(_xlpm.typ="H",_xlpm.kod&lt;&gt;""),UPPER(_xlpm.kod),GM$18),GM$18))</f>
        <v>22</v>
      </c>
      <c r="GN113" s="88" cm="1">
        <f t="array" ref="GN113">_xlfn.LET(_xlpm.rad,$FO113+1,_xlpm.typ,INDEX($E$20:$E$68,_xlpm.rad),_xlpm.kod,INDEX(AF$19:AF$68,_xlpm.rad),IFERROR(IF(AND(_xlpm.typ="H",_xlpm.kod&lt;&gt;""),UPPER(_xlpm.kod),GN$18),GN$18))</f>
        <v>23</v>
      </c>
      <c r="GO113" s="88" cm="1">
        <f t="array" ref="GO113">_xlfn.LET(_xlpm.rad,$FO113+1,_xlpm.typ,INDEX($E$20:$E$68,_xlpm.rad),_xlpm.kod,INDEX(AG$19:AG$68,_xlpm.rad),IFERROR(IF(AND(_xlpm.typ="H",_xlpm.kod&lt;&gt;""),UPPER(_xlpm.kod),GO$18),GO$18))</f>
        <v>24</v>
      </c>
      <c r="GP113" s="88" cm="1">
        <f t="array" ref="GP113">_xlfn.LET(_xlpm.rad,$FO113+1,_xlpm.typ,INDEX($E$20:$E$68,_xlpm.rad),_xlpm.kod,INDEX(AH$19:AH$68,_xlpm.rad),IFERROR(IF(AND(_xlpm.typ="H",_xlpm.kod&lt;&gt;""),UPPER(_xlpm.kod),GP$18),GP$18))</f>
        <v>25</v>
      </c>
      <c r="GQ113" s="88" cm="1">
        <f t="array" ref="GQ113">_xlfn.LET(_xlpm.rad,$FO113+1,_xlpm.typ,INDEX($E$20:$E$68,_xlpm.rad),_xlpm.kod,INDEX(AI$19:AI$68,_xlpm.rad),IFERROR(IF(AND(_xlpm.typ="H",_xlpm.kod&lt;&gt;""),UPPER(_xlpm.kod),GQ$18),GQ$18))</f>
        <v>26</v>
      </c>
      <c r="GR113" s="88" cm="1">
        <f t="array" ref="GR113">_xlfn.LET(_xlpm.rad,$FO113+1,_xlpm.typ,INDEX($E$20:$E$68,_xlpm.rad),_xlpm.kod,INDEX(AJ$19:AJ$68,_xlpm.rad),IFERROR(IF(AND(_xlpm.typ="H",_xlpm.kod&lt;&gt;""),UPPER(_xlpm.kod),GR$18),GR$18))</f>
        <v>27</v>
      </c>
      <c r="GS113" s="88" cm="1">
        <f t="array" ref="GS113">_xlfn.LET(_xlpm.rad,$FO113+1,_xlpm.typ,INDEX($E$20:$E$68,_xlpm.rad),_xlpm.kod,INDEX(AK$19:AK$68,_xlpm.rad),IFERROR(IF(AND(_xlpm.typ="H",_xlpm.kod&lt;&gt;""),UPPER(_xlpm.kod),GS$18),GS$18))</f>
        <v>28</v>
      </c>
      <c r="GT113" s="88" cm="1">
        <f t="array" ref="GT113">_xlfn.LET(_xlpm.rad,$FO113+1,_xlpm.typ,INDEX($E$20:$E$68,_xlpm.rad),_xlpm.kod,INDEX(AL$19:AL$68,_xlpm.rad),IFERROR(IF(AND(_xlpm.typ="H",_xlpm.kod&lt;&gt;""),UPPER(_xlpm.kod),GT$18),GT$18))</f>
        <v>29</v>
      </c>
      <c r="GU113" s="88" cm="1">
        <f t="array" ref="GU113">_xlfn.LET(_xlpm.rad,$FO113+1,_xlpm.typ,INDEX($E$20:$E$68,_xlpm.rad),_xlpm.kod,INDEX(AM$19:AM$68,_xlpm.rad),IFERROR(IF(AND(_xlpm.typ="H",_xlpm.kod&lt;&gt;""),UPPER(_xlpm.kod),GU$18),GU$18))</f>
        <v>30</v>
      </c>
    </row>
    <row r="114" spans="7:203" x14ac:dyDescent="0.35">
      <c r="G114" s="116">
        <v>45780</v>
      </c>
      <c r="H114" s="117"/>
      <c r="I114" s="12" t="s">
        <v>2317</v>
      </c>
      <c r="J114" s="12" t="s">
        <v>2318</v>
      </c>
      <c r="EM114" s="91"/>
      <c r="EN114" s="91"/>
      <c r="FR114" s="88" cm="1">
        <f t="array" ref="FR114">_xlfn.LET(_xlpm.rad,$FO113+1,_xlpm.typ,INDEX($E$20:$E$68,_xlpm.rad),_xlpm.kod,INDEX(J$19:J$68,_xlpm.rad),_xlpm.del,INDEX($F$19:$F$68,_xlpm.rad),IFERROR(IF(AND(_xlpm.typ="H",_xlpm.kod&lt;&gt;"",_xlpm.del&lt;&gt;"Hybrid - Thrust + 2 connections"),INDEX(Hyb_Tech,MATCH(_xlpm.kod,Hyb_Code,0)),FR$72),FR$72))</f>
        <v>1</v>
      </c>
      <c r="FS114" s="88" cm="1">
        <f t="array" ref="FS114">_xlfn.LET(_xlpm.rad,$FO113+1,_xlpm.typ,INDEX($E$20:$E$68,_xlpm.rad),_xlpm.kod,INDEX(K$19:K$68,_xlpm.rad),_xlpm.del,INDEX($F$19:$F$68,_xlpm.rad),IFERROR(IF(AND(_xlpm.typ="H",_xlpm.kod&lt;&gt;"",_xlpm.del&lt;&gt;"Hybrid - Thrust + 2 connections"),INDEX(Hyb_Tech,MATCH(_xlpm.kod,Hyb_Code,0)),FS$72),FS$72))</f>
        <v>2</v>
      </c>
      <c r="FT114" s="88" cm="1">
        <f t="array" ref="FT114">_xlfn.LET(_xlpm.rad,$FO113+1,_xlpm.typ,INDEX($E$20:$E$68,_xlpm.rad),_xlpm.kod,INDEX(L$19:L$68,_xlpm.rad),_xlpm.del,INDEX($F$19:$F$68,_xlpm.rad),IFERROR(IF(AND(_xlpm.typ="H",_xlpm.kod&lt;&gt;"",_xlpm.del&lt;&gt;"Hybrid - Thrust + 2 connections"),INDEX(Hyb_Tech,MATCH(_xlpm.kod,Hyb_Code,0)),FT$72),FT$72))</f>
        <v>3</v>
      </c>
      <c r="FU114" s="88" cm="1">
        <f t="array" ref="FU114">_xlfn.LET(_xlpm.rad,$FO113+1,_xlpm.typ,INDEX($E$20:$E$68,_xlpm.rad),_xlpm.kod,INDEX(M$19:M$68,_xlpm.rad),_xlpm.del,INDEX($F$19:$F$68,_xlpm.rad),IFERROR(IF(AND(_xlpm.typ="H",_xlpm.kod&lt;&gt;"",_xlpm.del&lt;&gt;"Hybrid - Thrust + 2 connections"),INDEX(Hyb_Tech,MATCH(_xlpm.kod,Hyb_Code,0)),FU$72),FU$72))</f>
        <v>4</v>
      </c>
      <c r="FV114" s="88" cm="1">
        <f t="array" ref="FV114">_xlfn.LET(_xlpm.rad,$FO113+1,_xlpm.typ,INDEX($E$20:$E$68,_xlpm.rad),_xlpm.kod,INDEX(N$19:N$68,_xlpm.rad),_xlpm.del,INDEX($F$19:$F$68,_xlpm.rad),IFERROR(IF(AND(_xlpm.typ="H",_xlpm.kod&lt;&gt;"",_xlpm.del&lt;&gt;"Hybrid - Thrust + 2 connections"),INDEX(Hyb_Tech,MATCH(_xlpm.kod,Hyb_Code,0)),FV$72),FV$72))</f>
        <v>5</v>
      </c>
      <c r="FW114" s="88" cm="1">
        <f t="array" ref="FW114">_xlfn.LET(_xlpm.rad,$FO113+1,_xlpm.typ,INDEX($E$20:$E$68,_xlpm.rad),_xlpm.kod,INDEX(O$19:O$68,_xlpm.rad),_xlpm.del,INDEX($F$19:$F$68,_xlpm.rad),IFERROR(IF(AND(_xlpm.typ="H",_xlpm.kod&lt;&gt;"",_xlpm.del&lt;&gt;"Hybrid - Thrust + 2 connections"),INDEX(Hyb_Tech,MATCH(_xlpm.kod,Hyb_Code,0)),FW$72),FW$72))</f>
        <v>6</v>
      </c>
      <c r="FX114" s="88" cm="1">
        <f t="array" ref="FX114">_xlfn.LET(_xlpm.rad,$FO113+1,_xlpm.typ,INDEX($E$20:$E$68,_xlpm.rad),_xlpm.kod,INDEX(P$19:P$68,_xlpm.rad),_xlpm.del,INDEX($F$19:$F$68,_xlpm.rad),IFERROR(IF(AND(_xlpm.typ="H",_xlpm.kod&lt;&gt;"",_xlpm.del&lt;&gt;"Hybrid - Thrust + 2 connections"),INDEX(Hyb_Tech,MATCH(_xlpm.kod,Hyb_Code,0)),FX$72),FX$72))</f>
        <v>7</v>
      </c>
      <c r="FY114" s="88" cm="1">
        <f t="array" ref="FY114">_xlfn.LET(_xlpm.rad,$FO113+1,_xlpm.typ,INDEX($E$20:$E$68,_xlpm.rad),_xlpm.kod,INDEX(Q$19:Q$68,_xlpm.rad),_xlpm.del,INDEX($F$19:$F$68,_xlpm.rad),IFERROR(IF(AND(_xlpm.typ="H",_xlpm.kod&lt;&gt;"",_xlpm.del&lt;&gt;"Hybrid - Thrust + 2 connections"),INDEX(Hyb_Tech,MATCH(_xlpm.kod,Hyb_Code,0)),FY$72),FY$72))</f>
        <v>8</v>
      </c>
      <c r="FZ114" s="88" cm="1">
        <f t="array" ref="FZ114">_xlfn.LET(_xlpm.rad,$FO113+1,_xlpm.typ,INDEX($E$20:$E$68,_xlpm.rad),_xlpm.kod,INDEX(R$19:R$68,_xlpm.rad),_xlpm.del,INDEX($F$19:$F$68,_xlpm.rad),IFERROR(IF(AND(_xlpm.typ="H",_xlpm.kod&lt;&gt;"",_xlpm.del&lt;&gt;"Hybrid - Thrust + 2 connections"),INDEX(Hyb_Tech,MATCH(_xlpm.kod,Hyb_Code,0)),FZ$72),FZ$72))</f>
        <v>9</v>
      </c>
      <c r="GA114" s="88" cm="1">
        <f t="array" ref="GA114">_xlfn.LET(_xlpm.rad,$FO113+1,_xlpm.typ,INDEX($E$20:$E$68,_xlpm.rad),_xlpm.kod,INDEX(S$19:S$68,_xlpm.rad),_xlpm.del,INDEX($F$19:$F$68,_xlpm.rad),IFERROR(IF(AND(_xlpm.typ="H",_xlpm.kod&lt;&gt;"",_xlpm.del&lt;&gt;"Hybrid - Thrust + 2 connections"),INDEX(Hyb_Tech,MATCH(_xlpm.kod,Hyb_Code,0)),GA$72),GA$72))</f>
        <v>10</v>
      </c>
      <c r="GB114" s="88" cm="1">
        <f t="array" ref="GB114">_xlfn.LET(_xlpm.rad,$FO113+1,_xlpm.typ,INDEX($E$20:$E$68,_xlpm.rad),_xlpm.kod,INDEX(T$19:T$68,_xlpm.rad),_xlpm.del,INDEX($F$19:$F$68,_xlpm.rad),IFERROR(IF(AND(_xlpm.typ="H",_xlpm.kod&lt;&gt;"",_xlpm.del&lt;&gt;"Hybrid - Thrust + 2 connections"),INDEX(Hyb_Tech,MATCH(_xlpm.kod,Hyb_Code,0)),GB$72),GB$72))</f>
        <v>11</v>
      </c>
      <c r="GC114" s="88" cm="1">
        <f t="array" ref="GC114">_xlfn.LET(_xlpm.rad,$FO113+1,_xlpm.typ,INDEX($E$20:$E$68,_xlpm.rad),_xlpm.kod,INDEX(U$19:U$68,_xlpm.rad),_xlpm.del,INDEX($F$19:$F$68,_xlpm.rad),IFERROR(IF(AND(_xlpm.typ="H",_xlpm.kod&lt;&gt;"",_xlpm.del&lt;&gt;"Hybrid - Thrust + 2 connections"),INDEX(Hyb_Tech,MATCH(_xlpm.kod,Hyb_Code,0)),GC$72),GC$72))</f>
        <v>12</v>
      </c>
      <c r="GD114" s="88" cm="1">
        <f t="array" ref="GD114">_xlfn.LET(_xlpm.rad,$FO113+1,_xlpm.typ,INDEX($E$20:$E$68,_xlpm.rad),_xlpm.kod,INDEX(V$19:V$68,_xlpm.rad),_xlpm.del,INDEX($F$19:$F$68,_xlpm.rad),IFERROR(IF(AND(_xlpm.typ="H",_xlpm.kod&lt;&gt;"",_xlpm.del&lt;&gt;"Hybrid - Thrust + 2 connections"),INDEX(Hyb_Tech,MATCH(_xlpm.kod,Hyb_Code,0)),GD$72),GD$72))</f>
        <v>13</v>
      </c>
      <c r="GE114" s="88" cm="1">
        <f t="array" ref="GE114">_xlfn.LET(_xlpm.rad,$FO113+1,_xlpm.typ,INDEX($E$20:$E$68,_xlpm.rad),_xlpm.kod,INDEX(W$19:W$68,_xlpm.rad),_xlpm.del,INDEX($F$19:$F$68,_xlpm.rad),IFERROR(IF(AND(_xlpm.typ="H",_xlpm.kod&lt;&gt;"",_xlpm.del&lt;&gt;"Hybrid - Thrust + 2 connections"),INDEX(Hyb_Tech,MATCH(_xlpm.kod,Hyb_Code,0)),GE$72),GE$72))</f>
        <v>14</v>
      </c>
      <c r="GF114" s="88" cm="1">
        <f t="array" ref="GF114">_xlfn.LET(_xlpm.rad,$FO113+1,_xlpm.typ,INDEX($E$20:$E$68,_xlpm.rad),_xlpm.kod,INDEX(X$19:X$68,_xlpm.rad),_xlpm.del,INDEX($F$19:$F$68,_xlpm.rad),IFERROR(IF(AND(_xlpm.typ="H",_xlpm.kod&lt;&gt;"",_xlpm.del&lt;&gt;"Hybrid - Thrust + 2 connections"),INDEX(Hyb_Tech,MATCH(_xlpm.kod,Hyb_Code,0)),GF$72),GF$72))</f>
        <v>15</v>
      </c>
      <c r="GG114" s="88" cm="1">
        <f t="array" ref="GG114">_xlfn.LET(_xlpm.rad,$FO113+1,_xlpm.typ,INDEX($E$20:$E$68,_xlpm.rad),_xlpm.kod,INDEX(Y$19:Y$68,_xlpm.rad),_xlpm.del,INDEX($F$19:$F$68,_xlpm.rad),IFERROR(IF(AND(_xlpm.typ="H",_xlpm.kod&lt;&gt;"",_xlpm.del&lt;&gt;"Hybrid - Thrust + 2 connections"),INDEX(Hyb_Tech,MATCH(_xlpm.kod,Hyb_Code,0)),GG$72),GG$72))</f>
        <v>16</v>
      </c>
      <c r="GH114" s="88" cm="1">
        <f t="array" ref="GH114">_xlfn.LET(_xlpm.rad,$FO113+1,_xlpm.typ,INDEX($E$20:$E$68,_xlpm.rad),_xlpm.kod,INDEX(Z$19:Z$68,_xlpm.rad),_xlpm.del,INDEX($F$19:$F$68,_xlpm.rad),IFERROR(IF(AND(_xlpm.typ="H",_xlpm.kod&lt;&gt;"",_xlpm.del&lt;&gt;"Hybrid - Thrust + 2 connections"),INDEX(Hyb_Tech,MATCH(_xlpm.kod,Hyb_Code,0)),GH$72),GH$72))</f>
        <v>17</v>
      </c>
      <c r="GI114" s="88" cm="1">
        <f t="array" ref="GI114">_xlfn.LET(_xlpm.rad,$FO113+1,_xlpm.typ,INDEX($E$20:$E$68,_xlpm.rad),_xlpm.kod,INDEX(AA$19:AA$68,_xlpm.rad),_xlpm.del,INDEX($F$19:$F$68,_xlpm.rad),IFERROR(IF(AND(_xlpm.typ="H",_xlpm.kod&lt;&gt;"",_xlpm.del&lt;&gt;"Hybrid - Thrust + 2 connections"),INDEX(Hyb_Tech,MATCH(_xlpm.kod,Hyb_Code,0)),GI$72),GI$72))</f>
        <v>18</v>
      </c>
      <c r="GJ114" s="88" cm="1">
        <f t="array" ref="GJ114">_xlfn.LET(_xlpm.rad,$FO113+1,_xlpm.typ,INDEX($E$20:$E$68,_xlpm.rad),_xlpm.kod,INDEX(AB$19:AB$68,_xlpm.rad),_xlpm.del,INDEX($F$19:$F$68,_xlpm.rad),IFERROR(IF(AND(_xlpm.typ="H",_xlpm.kod&lt;&gt;"",_xlpm.del&lt;&gt;"Hybrid - Thrust + 2 connections"),INDEX(Hyb_Tech,MATCH(_xlpm.kod,Hyb_Code,0)),GJ$72),GJ$72))</f>
        <v>19</v>
      </c>
      <c r="GK114" s="88" cm="1">
        <f t="array" ref="GK114">_xlfn.LET(_xlpm.rad,$FO113+1,_xlpm.typ,INDEX($E$20:$E$68,_xlpm.rad),_xlpm.kod,INDEX(AC$19:AC$68,_xlpm.rad),_xlpm.del,INDEX($F$19:$F$68,_xlpm.rad),IFERROR(IF(AND(_xlpm.typ="H",_xlpm.kod&lt;&gt;"",_xlpm.del&lt;&gt;"Hybrid - Thrust + 2 connections"),INDEX(Hyb_Tech,MATCH(_xlpm.kod,Hyb_Code,0)),GK$72),GK$72))</f>
        <v>20</v>
      </c>
      <c r="GL114" s="88" cm="1">
        <f t="array" ref="GL114">_xlfn.LET(_xlpm.rad,$FO113+1,_xlpm.typ,INDEX($E$20:$E$68,_xlpm.rad),_xlpm.kod,INDEX(AD$19:AD$68,_xlpm.rad),_xlpm.del,INDEX($F$19:$F$68,_xlpm.rad),IFERROR(IF(AND(_xlpm.typ="H",_xlpm.kod&lt;&gt;"",_xlpm.del&lt;&gt;"Hybrid - Thrust + 2 connections"),INDEX(Hyb_Tech,MATCH(_xlpm.kod,Hyb_Code,0)),GL$72),GL$72))</f>
        <v>21</v>
      </c>
      <c r="GM114" s="88" cm="1">
        <f t="array" ref="GM114">_xlfn.LET(_xlpm.rad,$FO113+1,_xlpm.typ,INDEX($E$20:$E$68,_xlpm.rad),_xlpm.kod,INDEX(AE$19:AE$68,_xlpm.rad),_xlpm.del,INDEX($F$19:$F$68,_xlpm.rad),IFERROR(IF(AND(_xlpm.typ="H",_xlpm.kod&lt;&gt;"",_xlpm.del&lt;&gt;"Hybrid - Thrust + 2 connections"),INDEX(Hyb_Tech,MATCH(_xlpm.kod,Hyb_Code,0)),GM$72),GM$72))</f>
        <v>22</v>
      </c>
      <c r="GN114" s="88" cm="1">
        <f t="array" ref="GN114">_xlfn.LET(_xlpm.rad,$FO113+1,_xlpm.typ,INDEX($E$20:$E$68,_xlpm.rad),_xlpm.kod,INDEX(AF$19:AF$68,_xlpm.rad),_xlpm.del,INDEX($F$19:$F$68,_xlpm.rad),IFERROR(IF(AND(_xlpm.typ="H",_xlpm.kod&lt;&gt;"",_xlpm.del&lt;&gt;"Hybrid - Thrust + 2 connections"),INDEX(Hyb_Tech,MATCH(_xlpm.kod,Hyb_Code,0)),GN$72),GN$72))</f>
        <v>23</v>
      </c>
      <c r="GO114" s="88" cm="1">
        <f t="array" ref="GO114">_xlfn.LET(_xlpm.rad,$FO113+1,_xlpm.typ,INDEX($E$20:$E$68,_xlpm.rad),_xlpm.kod,INDEX(AG$19:AG$68,_xlpm.rad),_xlpm.del,INDEX($F$19:$F$68,_xlpm.rad),IFERROR(IF(AND(_xlpm.typ="H",_xlpm.kod&lt;&gt;"",_xlpm.del&lt;&gt;"Hybrid - Thrust + 2 connections"),INDEX(Hyb_Tech,MATCH(_xlpm.kod,Hyb_Code,0)),GO$72),GO$72))</f>
        <v>24</v>
      </c>
      <c r="GP114" s="88" cm="1">
        <f t="array" ref="GP114">_xlfn.LET(_xlpm.rad,$FO113+1,_xlpm.typ,INDEX($E$20:$E$68,_xlpm.rad),_xlpm.kod,INDEX(AH$19:AH$68,_xlpm.rad),_xlpm.del,INDEX($F$19:$F$68,_xlpm.rad),IFERROR(IF(AND(_xlpm.typ="H",_xlpm.kod&lt;&gt;"",_xlpm.del&lt;&gt;"Hybrid - Thrust + 2 connections"),INDEX(Hyb_Tech,MATCH(_xlpm.kod,Hyb_Code,0)),GP$72),GP$72))</f>
        <v>25</v>
      </c>
      <c r="GQ114" s="88" cm="1">
        <f t="array" ref="GQ114">_xlfn.LET(_xlpm.rad,$FO113+1,_xlpm.typ,INDEX($E$20:$E$68,_xlpm.rad),_xlpm.kod,INDEX(AI$19:AI$68,_xlpm.rad),_xlpm.del,INDEX($F$19:$F$68,_xlpm.rad),IFERROR(IF(AND(_xlpm.typ="H",_xlpm.kod&lt;&gt;"",_xlpm.del&lt;&gt;"Hybrid - Thrust + 2 connections"),INDEX(Hyb_Tech,MATCH(_xlpm.kod,Hyb_Code,0)),GQ$72),GQ$72))</f>
        <v>26</v>
      </c>
      <c r="GR114" s="88" cm="1">
        <f t="array" ref="GR114">_xlfn.LET(_xlpm.rad,$FO113+1,_xlpm.typ,INDEX($E$20:$E$68,_xlpm.rad),_xlpm.kod,INDEX(AJ$19:AJ$68,_xlpm.rad),_xlpm.del,INDEX($F$19:$F$68,_xlpm.rad),IFERROR(IF(AND(_xlpm.typ="H",_xlpm.kod&lt;&gt;"",_xlpm.del&lt;&gt;"Hybrid - Thrust + 2 connections"),INDEX(Hyb_Tech,MATCH(_xlpm.kod,Hyb_Code,0)),GR$72),GR$72))</f>
        <v>27</v>
      </c>
      <c r="GS114" s="88" cm="1">
        <f t="array" ref="GS114">_xlfn.LET(_xlpm.rad,$FO113+1,_xlpm.typ,INDEX($E$20:$E$68,_xlpm.rad),_xlpm.kod,INDEX(AK$19:AK$68,_xlpm.rad),_xlpm.del,INDEX($F$19:$F$68,_xlpm.rad),IFERROR(IF(AND(_xlpm.typ="H",_xlpm.kod&lt;&gt;"",_xlpm.del&lt;&gt;"Hybrid - Thrust + 2 connections"),INDEX(Hyb_Tech,MATCH(_xlpm.kod,Hyb_Code,0)),GS$72),GS$72))</f>
        <v>28</v>
      </c>
      <c r="GT114" s="88" cm="1">
        <f t="array" ref="GT114">_xlfn.LET(_xlpm.rad,$FO113+1,_xlpm.typ,INDEX($E$20:$E$68,_xlpm.rad),_xlpm.kod,INDEX(AL$19:AL$68,_xlpm.rad),_xlpm.del,INDEX($F$19:$F$68,_xlpm.rad),IFERROR(IF(AND(_xlpm.typ="H",_xlpm.kod&lt;&gt;"",_xlpm.del&lt;&gt;"Hybrid - Thrust + 2 connections"),INDEX(Hyb_Tech,MATCH(_xlpm.kod,Hyb_Code,0)),GT$72),GT$72))</f>
        <v>29</v>
      </c>
      <c r="GU114" s="88" cm="1">
        <f t="array" ref="GU114">_xlfn.LET(_xlpm.rad,$FO113+1,_xlpm.typ,INDEX($E$20:$E$68,_xlpm.rad),_xlpm.kod,INDEX(AM$19:AM$68,_xlpm.rad),_xlpm.del,INDEX($F$19:$F$68,_xlpm.rad),IFERROR(IF(AND(_xlpm.typ="H",_xlpm.kod&lt;&gt;"",_xlpm.del&lt;&gt;"Hybrid - Thrust + 2 connections"),INDEX(Hyb_Tech,MATCH(_xlpm.kod,Hyb_Code,0)),GU$72),GU$72))</f>
        <v>30</v>
      </c>
    </row>
    <row r="115" spans="7:203" x14ac:dyDescent="0.35">
      <c r="G115" s="116">
        <v>45781</v>
      </c>
      <c r="H115" s="117"/>
      <c r="I115" s="12" t="s">
        <v>2319</v>
      </c>
      <c r="J115" s="12" t="s">
        <v>2321</v>
      </c>
      <c r="EO115" s="88"/>
      <c r="EP115" s="88"/>
      <c r="EQ115" s="88"/>
      <c r="ER115" s="88"/>
      <c r="ES115" s="88"/>
      <c r="ET115" s="88"/>
      <c r="EU115" s="88"/>
      <c r="EV115" s="88"/>
      <c r="EW115" s="88"/>
      <c r="EX115" s="88"/>
      <c r="EY115" s="88"/>
      <c r="EZ115" s="88"/>
      <c r="FA115" s="88"/>
      <c r="FB115" s="88"/>
      <c r="FC115" s="88"/>
      <c r="FD115" s="88"/>
      <c r="FE115" s="88"/>
      <c r="FF115" s="88"/>
      <c r="FG115" s="88"/>
      <c r="FH115" s="88"/>
      <c r="FI115" s="88"/>
      <c r="FJ115" s="88"/>
      <c r="FK115" s="88"/>
      <c r="FL115" s="88"/>
      <c r="FM115" s="88"/>
      <c r="FN115" s="88"/>
      <c r="FP115" s="91" t="str" cm="1">
        <f t="array" ref="FP115">IFERROR(IF($T$5="",IF(COUNTIF(FR115:GU115,1)&gt;$FP$18,INDEX($FR$73:$GU$170,$FO113*5/2+1,MATCH(1,FR115:GU115,0)),""),IF(SUM(FR115:GU115)&gt;2,INDEX($FR$73:$GU$170,$FO113*5/2+1,MATCH(1,FR115:GU115,0)),"")),"")</f>
        <v/>
      </c>
      <c r="FQ115" s="88" t="str" cm="1">
        <f t="array" ref="FQ115">IFERROR(IF(LEFT(FP115,1)="C",IF(RIGHT(FP115,1)="+",LEFT(FP115,LEN(FP115)-1),CONCATENATE(FP115,"+")),IF(SUM($FR115:$GU115)&gt;$FP$18,INDEX($FR$73:$GU$170,$FO113*5/2+1,MATCH(0.5,FR115:GU115,0)),"")),"")</f>
        <v/>
      </c>
      <c r="FR115" s="88" t="str">
        <f t="shared" ref="FR115:GU115" si="3380">IF(AND($BV$6="D",LEFT(FR113,1)="C"),IF(COUNTIF($FR114:$GU114,FR114)&gt;$FP$18,INDEX(Hyb_Tech_Value,MATCH(FR113,Hyb_Code,0)),""),IF(COUNTIF($FR114:$GU114,FR114)&gt;$FP$18,INDEX(Hyb_Tech_Value,MATCH(FR113,Hyb_Code,0)),""))</f>
        <v/>
      </c>
      <c r="FS115" s="88" t="str">
        <f t="shared" si="3380"/>
        <v/>
      </c>
      <c r="FT115" s="88" t="str">
        <f t="shared" si="3380"/>
        <v/>
      </c>
      <c r="FU115" s="88" t="str">
        <f t="shared" si="3380"/>
        <v/>
      </c>
      <c r="FV115" s="88" t="str">
        <f t="shared" si="3380"/>
        <v/>
      </c>
      <c r="FW115" s="88" t="str">
        <f t="shared" si="3380"/>
        <v/>
      </c>
      <c r="FX115" s="88" t="str">
        <f t="shared" si="3380"/>
        <v/>
      </c>
      <c r="FY115" s="88" t="str">
        <f t="shared" si="3380"/>
        <v/>
      </c>
      <c r="FZ115" s="88" t="str">
        <f t="shared" si="3380"/>
        <v/>
      </c>
      <c r="GA115" s="88" t="str">
        <f t="shared" si="3380"/>
        <v/>
      </c>
      <c r="GB115" s="88" t="str">
        <f t="shared" si="3380"/>
        <v/>
      </c>
      <c r="GC115" s="88" t="str">
        <f t="shared" si="3380"/>
        <v/>
      </c>
      <c r="GD115" s="88" t="str">
        <f t="shared" si="3380"/>
        <v/>
      </c>
      <c r="GE115" s="88" t="str">
        <f t="shared" si="3380"/>
        <v/>
      </c>
      <c r="GF115" s="88" t="str">
        <f t="shared" si="3380"/>
        <v/>
      </c>
      <c r="GG115" s="88" t="str">
        <f t="shared" si="3380"/>
        <v/>
      </c>
      <c r="GH115" s="88" t="str">
        <f t="shared" si="3380"/>
        <v/>
      </c>
      <c r="GI115" s="88" t="str">
        <f t="shared" si="3380"/>
        <v/>
      </c>
      <c r="GJ115" s="88" t="str">
        <f t="shared" si="3380"/>
        <v/>
      </c>
      <c r="GK115" s="88" t="str">
        <f t="shared" si="3380"/>
        <v/>
      </c>
      <c r="GL115" s="88" t="str">
        <f t="shared" si="3380"/>
        <v/>
      </c>
      <c r="GM115" s="88" t="str">
        <f t="shared" si="3380"/>
        <v/>
      </c>
      <c r="GN115" s="88" t="str">
        <f t="shared" si="3380"/>
        <v/>
      </c>
      <c r="GO115" s="88" t="str">
        <f t="shared" si="3380"/>
        <v/>
      </c>
      <c r="GP115" s="88" t="str">
        <f t="shared" si="3380"/>
        <v/>
      </c>
      <c r="GQ115" s="88" t="str">
        <f t="shared" si="3380"/>
        <v/>
      </c>
      <c r="GR115" s="88" t="str">
        <f t="shared" si="3380"/>
        <v/>
      </c>
      <c r="GS115" s="88" t="str">
        <f t="shared" si="3380"/>
        <v/>
      </c>
      <c r="GT115" s="88" t="str">
        <f t="shared" si="3380"/>
        <v/>
      </c>
      <c r="GU115" s="88" t="str">
        <f t="shared" si="3380"/>
        <v/>
      </c>
    </row>
    <row r="116" spans="7:203" x14ac:dyDescent="0.35">
      <c r="G116" s="116">
        <v>45850</v>
      </c>
      <c r="H116" s="117"/>
      <c r="I116" s="12" t="s">
        <v>2322</v>
      </c>
      <c r="J116" s="12" t="s">
        <v>2335</v>
      </c>
      <c r="EM116" s="91"/>
      <c r="EN116" s="91"/>
      <c r="FQ116" s="88"/>
      <c r="FR116" s="88" t="str">
        <f t="shared" ref="FR116:GU116" si="3381">IFERROR(IF(LEFT(FR113,FIND("*",FR113)-1)=LEFT($FQ$73,FIND("*",$FQ$73)-1),0.5,""),"")</f>
        <v/>
      </c>
      <c r="FS116" s="88" t="str">
        <f t="shared" si="3381"/>
        <v/>
      </c>
      <c r="FT116" s="88" t="str">
        <f t="shared" si="3381"/>
        <v/>
      </c>
      <c r="FU116" s="88" t="str">
        <f t="shared" si="3381"/>
        <v/>
      </c>
      <c r="FV116" s="88" t="str">
        <f t="shared" si="3381"/>
        <v/>
      </c>
      <c r="FW116" s="88" t="str">
        <f t="shared" si="3381"/>
        <v/>
      </c>
      <c r="FX116" s="88" t="str">
        <f t="shared" si="3381"/>
        <v/>
      </c>
      <c r="FY116" s="88" t="str">
        <f t="shared" si="3381"/>
        <v/>
      </c>
      <c r="FZ116" s="88" t="str">
        <f t="shared" si="3381"/>
        <v/>
      </c>
      <c r="GA116" s="88" t="str">
        <f t="shared" si="3381"/>
        <v/>
      </c>
      <c r="GB116" s="88" t="str">
        <f t="shared" si="3381"/>
        <v/>
      </c>
      <c r="GC116" s="88" t="str">
        <f t="shared" si="3381"/>
        <v/>
      </c>
      <c r="GD116" s="88" t="str">
        <f t="shared" si="3381"/>
        <v/>
      </c>
      <c r="GE116" s="88" t="str">
        <f t="shared" si="3381"/>
        <v/>
      </c>
      <c r="GF116" s="88" t="str">
        <f t="shared" si="3381"/>
        <v/>
      </c>
      <c r="GG116" s="88" t="str">
        <f t="shared" si="3381"/>
        <v/>
      </c>
      <c r="GH116" s="88" t="str">
        <f t="shared" si="3381"/>
        <v/>
      </c>
      <c r="GI116" s="88" t="str">
        <f t="shared" si="3381"/>
        <v/>
      </c>
      <c r="GJ116" s="88" t="str">
        <f t="shared" si="3381"/>
        <v/>
      </c>
      <c r="GK116" s="88" t="str">
        <f t="shared" si="3381"/>
        <v/>
      </c>
      <c r="GL116" s="88" t="str">
        <f t="shared" si="3381"/>
        <v/>
      </c>
      <c r="GM116" s="88" t="str">
        <f t="shared" si="3381"/>
        <v/>
      </c>
      <c r="GN116" s="88" t="str">
        <f t="shared" si="3381"/>
        <v/>
      </c>
      <c r="GO116" s="88" t="str">
        <f t="shared" si="3381"/>
        <v/>
      </c>
      <c r="GP116" s="88" t="str">
        <f t="shared" si="3381"/>
        <v/>
      </c>
      <c r="GQ116" s="88" t="str">
        <f t="shared" si="3381"/>
        <v/>
      </c>
      <c r="GR116" s="88" t="str">
        <f t="shared" si="3381"/>
        <v/>
      </c>
      <c r="GS116" s="88" t="str">
        <f t="shared" si="3381"/>
        <v/>
      </c>
      <c r="GT116" s="88" t="str">
        <f t="shared" si="3381"/>
        <v/>
      </c>
      <c r="GU116" s="88" t="str">
        <f t="shared" si="3381"/>
        <v/>
      </c>
    </row>
    <row r="117" spans="7:203" x14ac:dyDescent="0.35">
      <c r="G117" s="116">
        <v>45979</v>
      </c>
      <c r="H117" s="117"/>
      <c r="I117" s="12" t="s">
        <v>2336</v>
      </c>
      <c r="J117" s="12" t="s">
        <v>2343</v>
      </c>
      <c r="EO117" s="88"/>
      <c r="EP117" s="88"/>
      <c r="EQ117" s="88"/>
      <c r="ER117" s="88"/>
      <c r="ES117" s="88"/>
      <c r="ET117" s="88"/>
      <c r="EU117" s="88"/>
      <c r="EV117" s="88"/>
      <c r="EW117" s="88"/>
      <c r="EX117" s="88"/>
      <c r="EY117" s="88"/>
      <c r="EZ117" s="88"/>
      <c r="FA117" s="88"/>
      <c r="FB117" s="88"/>
      <c r="FC117" s="88"/>
      <c r="FD117" s="88"/>
      <c r="FE117" s="88"/>
      <c r="FF117" s="88"/>
      <c r="FG117" s="88"/>
      <c r="FH117" s="88"/>
      <c r="FI117" s="88"/>
      <c r="FJ117" s="88"/>
      <c r="FK117" s="88"/>
      <c r="FL117" s="88"/>
      <c r="FM117" s="88"/>
      <c r="FN117" s="88"/>
      <c r="FQ117" s="88"/>
      <c r="FR117" s="88"/>
      <c r="FS117" s="88"/>
      <c r="FT117" s="88"/>
      <c r="FU117" s="88"/>
      <c r="FV117" s="88"/>
      <c r="FW117" s="88"/>
      <c r="FX117" s="88"/>
      <c r="FY117" s="88"/>
      <c r="FZ117" s="88"/>
      <c r="GA117" s="88"/>
      <c r="GB117" s="88"/>
      <c r="GC117" s="88"/>
      <c r="GD117" s="88"/>
      <c r="GE117" s="88"/>
      <c r="GF117" s="88"/>
      <c r="GG117" s="88"/>
      <c r="GH117" s="88"/>
      <c r="GI117" s="88"/>
      <c r="GJ117" s="88"/>
      <c r="GK117" s="88"/>
      <c r="GL117" s="88"/>
      <c r="GM117" s="88"/>
      <c r="GN117" s="88"/>
      <c r="GO117" s="88"/>
      <c r="GP117" s="88"/>
      <c r="GQ117" s="88"/>
      <c r="GR117" s="88"/>
      <c r="GS117" s="88"/>
      <c r="GT117" s="88"/>
      <c r="GU117" s="88"/>
    </row>
    <row r="118" spans="7:203" x14ac:dyDescent="0.35">
      <c r="G118" s="116">
        <v>45982</v>
      </c>
      <c r="H118" s="117"/>
      <c r="I118" s="12" t="s">
        <v>2417</v>
      </c>
      <c r="J118" s="12" t="s">
        <v>2418</v>
      </c>
      <c r="EM118" s="91"/>
      <c r="EN118" s="91"/>
      <c r="FO118" s="91">
        <v>18</v>
      </c>
      <c r="FP118" s="88" t="str">
        <f t="shared" ref="FP118" si="3382">IF(SUM(FR121:GU121)&gt;2,FQ118,"")</f>
        <v/>
      </c>
      <c r="FQ118" s="88" t="str" cm="1">
        <f t="array" ref="FQ118">IF(SUM(FR120:GU120)&gt;0,_xlfn.LET(_xlpm.area,FR118:GU118,_xlpm.texts,_xlfn.UNIQUE(_xlfn._xlws.FILTER(_xlpm.area,_xlpm.area&lt;&gt;"")),_xlpm.number,COUNTIF(_xlpm.area,_xlpm.texts),INDEX(_xlpm.texts,MATCH(MAX(_xlpm.number),_xlpm.number,0))),"")</f>
        <v/>
      </c>
      <c r="FR118" s="88" cm="1">
        <f t="array" ref="FR118">_xlfn.LET(_xlpm.rad,$FO118+1,_xlpm.typ,INDEX($E$20:$E$68,_xlpm.rad),_xlpm.kod,INDEX(J$19:J$68,_xlpm.rad),IFERROR(IF(AND(_xlpm.typ="H",_xlpm.kod&lt;&gt;""),UPPER(_xlpm.kod),FR$18),FR$18))</f>
        <v>1</v>
      </c>
      <c r="FS118" s="88" cm="1">
        <f t="array" ref="FS118">_xlfn.LET(_xlpm.rad,$FO118+1,_xlpm.typ,INDEX($E$20:$E$68,_xlpm.rad),_xlpm.kod,INDEX(K$19:K$68,_xlpm.rad),IFERROR(IF(AND(_xlpm.typ="H",_xlpm.kod&lt;&gt;""),UPPER(_xlpm.kod),FS$18),FS$18))</f>
        <v>2</v>
      </c>
      <c r="FT118" s="88" cm="1">
        <f t="array" ref="FT118">_xlfn.LET(_xlpm.rad,$FO118+1,_xlpm.typ,INDEX($E$20:$E$68,_xlpm.rad),_xlpm.kod,INDEX(L$19:L$68,_xlpm.rad),IFERROR(IF(AND(_xlpm.typ="H",_xlpm.kod&lt;&gt;""),UPPER(_xlpm.kod),FT$18),FT$18))</f>
        <v>3</v>
      </c>
      <c r="FU118" s="88" cm="1">
        <f t="array" ref="FU118">_xlfn.LET(_xlpm.rad,$FO118+1,_xlpm.typ,INDEX($E$20:$E$68,_xlpm.rad),_xlpm.kod,INDEX(M$19:M$68,_xlpm.rad),IFERROR(IF(AND(_xlpm.typ="H",_xlpm.kod&lt;&gt;""),UPPER(_xlpm.kod),FU$18),FU$18))</f>
        <v>4</v>
      </c>
      <c r="FV118" s="88" cm="1">
        <f t="array" ref="FV118">_xlfn.LET(_xlpm.rad,$FO118+1,_xlpm.typ,INDEX($E$20:$E$68,_xlpm.rad),_xlpm.kod,INDEX(N$19:N$68,_xlpm.rad),IFERROR(IF(AND(_xlpm.typ="H",_xlpm.kod&lt;&gt;""),UPPER(_xlpm.kod),FV$18),FV$18))</f>
        <v>5</v>
      </c>
      <c r="FW118" s="88" cm="1">
        <f t="array" ref="FW118">_xlfn.LET(_xlpm.rad,$FO118+1,_xlpm.typ,INDEX($E$20:$E$68,_xlpm.rad),_xlpm.kod,INDEX(O$19:O$68,_xlpm.rad),IFERROR(IF(AND(_xlpm.typ="H",_xlpm.kod&lt;&gt;""),UPPER(_xlpm.kod),FW$18),FW$18))</f>
        <v>6</v>
      </c>
      <c r="FX118" s="88" cm="1">
        <f t="array" ref="FX118">_xlfn.LET(_xlpm.rad,$FO118+1,_xlpm.typ,INDEX($E$20:$E$68,_xlpm.rad),_xlpm.kod,INDEX(P$19:P$68,_xlpm.rad),IFERROR(IF(AND(_xlpm.typ="H",_xlpm.kod&lt;&gt;""),UPPER(_xlpm.kod),FX$18),FX$18))</f>
        <v>7</v>
      </c>
      <c r="FY118" s="88" cm="1">
        <f t="array" ref="FY118">_xlfn.LET(_xlpm.rad,$FO118+1,_xlpm.typ,INDEX($E$20:$E$68,_xlpm.rad),_xlpm.kod,INDEX(Q$19:Q$68,_xlpm.rad),IFERROR(IF(AND(_xlpm.typ="H",_xlpm.kod&lt;&gt;""),UPPER(_xlpm.kod),FY$18),FY$18))</f>
        <v>8</v>
      </c>
      <c r="FZ118" s="88" cm="1">
        <f t="array" ref="FZ118">_xlfn.LET(_xlpm.rad,$FO118+1,_xlpm.typ,INDEX($E$20:$E$68,_xlpm.rad),_xlpm.kod,INDEX(R$19:R$68,_xlpm.rad),IFERROR(IF(AND(_xlpm.typ="H",_xlpm.kod&lt;&gt;""),UPPER(_xlpm.kod),FZ$18),FZ$18))</f>
        <v>9</v>
      </c>
      <c r="GA118" s="88" cm="1">
        <f t="array" ref="GA118">_xlfn.LET(_xlpm.rad,$FO118+1,_xlpm.typ,INDEX($E$20:$E$68,_xlpm.rad),_xlpm.kod,INDEX(S$19:S$68,_xlpm.rad),IFERROR(IF(AND(_xlpm.typ="H",_xlpm.kod&lt;&gt;""),UPPER(_xlpm.kod),GA$18),GA$18))</f>
        <v>10</v>
      </c>
      <c r="GB118" s="88" cm="1">
        <f t="array" ref="GB118">_xlfn.LET(_xlpm.rad,$FO118+1,_xlpm.typ,INDEX($E$20:$E$68,_xlpm.rad),_xlpm.kod,INDEX(T$19:T$68,_xlpm.rad),IFERROR(IF(AND(_xlpm.typ="H",_xlpm.kod&lt;&gt;""),UPPER(_xlpm.kod),GB$18),GB$18))</f>
        <v>11</v>
      </c>
      <c r="GC118" s="88" cm="1">
        <f t="array" ref="GC118">_xlfn.LET(_xlpm.rad,$FO118+1,_xlpm.typ,INDEX($E$20:$E$68,_xlpm.rad),_xlpm.kod,INDEX(U$19:U$68,_xlpm.rad),IFERROR(IF(AND(_xlpm.typ="H",_xlpm.kod&lt;&gt;""),UPPER(_xlpm.kod),GC$18),GC$18))</f>
        <v>12</v>
      </c>
      <c r="GD118" s="88" cm="1">
        <f t="array" ref="GD118">_xlfn.LET(_xlpm.rad,$FO118+1,_xlpm.typ,INDEX($E$20:$E$68,_xlpm.rad),_xlpm.kod,INDEX(V$19:V$68,_xlpm.rad),IFERROR(IF(AND(_xlpm.typ="H",_xlpm.kod&lt;&gt;""),UPPER(_xlpm.kod),GD$18),GD$18))</f>
        <v>13</v>
      </c>
      <c r="GE118" s="88" cm="1">
        <f t="array" ref="GE118">_xlfn.LET(_xlpm.rad,$FO118+1,_xlpm.typ,INDEX($E$20:$E$68,_xlpm.rad),_xlpm.kod,INDEX(W$19:W$68,_xlpm.rad),IFERROR(IF(AND(_xlpm.typ="H",_xlpm.kod&lt;&gt;""),UPPER(_xlpm.kod),GE$18),GE$18))</f>
        <v>14</v>
      </c>
      <c r="GF118" s="88" cm="1">
        <f t="array" ref="GF118">_xlfn.LET(_xlpm.rad,$FO118+1,_xlpm.typ,INDEX($E$20:$E$68,_xlpm.rad),_xlpm.kod,INDEX(X$19:X$68,_xlpm.rad),IFERROR(IF(AND(_xlpm.typ="H",_xlpm.kod&lt;&gt;""),UPPER(_xlpm.kod),GF$18),GF$18))</f>
        <v>15</v>
      </c>
      <c r="GG118" s="88" cm="1">
        <f t="array" ref="GG118">_xlfn.LET(_xlpm.rad,$FO118+1,_xlpm.typ,INDEX($E$20:$E$68,_xlpm.rad),_xlpm.kod,INDEX(Y$19:Y$68,_xlpm.rad),IFERROR(IF(AND(_xlpm.typ="H",_xlpm.kod&lt;&gt;""),UPPER(_xlpm.kod),GG$18),GG$18))</f>
        <v>16</v>
      </c>
      <c r="GH118" s="88" cm="1">
        <f t="array" ref="GH118">_xlfn.LET(_xlpm.rad,$FO118+1,_xlpm.typ,INDEX($E$20:$E$68,_xlpm.rad),_xlpm.kod,INDEX(Z$19:Z$68,_xlpm.rad),IFERROR(IF(AND(_xlpm.typ="H",_xlpm.kod&lt;&gt;""),UPPER(_xlpm.kod),GH$18),GH$18))</f>
        <v>17</v>
      </c>
      <c r="GI118" s="88" cm="1">
        <f t="array" ref="GI118">_xlfn.LET(_xlpm.rad,$FO118+1,_xlpm.typ,INDEX($E$20:$E$68,_xlpm.rad),_xlpm.kod,INDEX(AA$19:AA$68,_xlpm.rad),IFERROR(IF(AND(_xlpm.typ="H",_xlpm.kod&lt;&gt;""),UPPER(_xlpm.kod),GI$18),GI$18))</f>
        <v>18</v>
      </c>
      <c r="GJ118" s="88" cm="1">
        <f t="array" ref="GJ118">_xlfn.LET(_xlpm.rad,$FO118+1,_xlpm.typ,INDEX($E$20:$E$68,_xlpm.rad),_xlpm.kod,INDEX(AB$19:AB$68,_xlpm.rad),IFERROR(IF(AND(_xlpm.typ="H",_xlpm.kod&lt;&gt;""),UPPER(_xlpm.kod),GJ$18),GJ$18))</f>
        <v>19</v>
      </c>
      <c r="GK118" s="88" cm="1">
        <f t="array" ref="GK118">_xlfn.LET(_xlpm.rad,$FO118+1,_xlpm.typ,INDEX($E$20:$E$68,_xlpm.rad),_xlpm.kod,INDEX(AC$19:AC$68,_xlpm.rad),IFERROR(IF(AND(_xlpm.typ="H",_xlpm.kod&lt;&gt;""),UPPER(_xlpm.kod),GK$18),GK$18))</f>
        <v>20</v>
      </c>
      <c r="GL118" s="88" cm="1">
        <f t="array" ref="GL118">_xlfn.LET(_xlpm.rad,$FO118+1,_xlpm.typ,INDEX($E$20:$E$68,_xlpm.rad),_xlpm.kod,INDEX(AD$19:AD$68,_xlpm.rad),IFERROR(IF(AND(_xlpm.typ="H",_xlpm.kod&lt;&gt;""),UPPER(_xlpm.kod),GL$18),GL$18))</f>
        <v>21</v>
      </c>
      <c r="GM118" s="88" cm="1">
        <f t="array" ref="GM118">_xlfn.LET(_xlpm.rad,$FO118+1,_xlpm.typ,INDEX($E$20:$E$68,_xlpm.rad),_xlpm.kod,INDEX(AE$19:AE$68,_xlpm.rad),IFERROR(IF(AND(_xlpm.typ="H",_xlpm.kod&lt;&gt;""),UPPER(_xlpm.kod),GM$18),GM$18))</f>
        <v>22</v>
      </c>
      <c r="GN118" s="88" cm="1">
        <f t="array" ref="GN118">_xlfn.LET(_xlpm.rad,$FO118+1,_xlpm.typ,INDEX($E$20:$E$68,_xlpm.rad),_xlpm.kod,INDEX(AF$19:AF$68,_xlpm.rad),IFERROR(IF(AND(_xlpm.typ="H",_xlpm.kod&lt;&gt;""),UPPER(_xlpm.kod),GN$18),GN$18))</f>
        <v>23</v>
      </c>
      <c r="GO118" s="88" cm="1">
        <f t="array" ref="GO118">_xlfn.LET(_xlpm.rad,$FO118+1,_xlpm.typ,INDEX($E$20:$E$68,_xlpm.rad),_xlpm.kod,INDEX(AG$19:AG$68,_xlpm.rad),IFERROR(IF(AND(_xlpm.typ="H",_xlpm.kod&lt;&gt;""),UPPER(_xlpm.kod),GO$18),GO$18))</f>
        <v>24</v>
      </c>
      <c r="GP118" s="88" cm="1">
        <f t="array" ref="GP118">_xlfn.LET(_xlpm.rad,$FO118+1,_xlpm.typ,INDEX($E$20:$E$68,_xlpm.rad),_xlpm.kod,INDEX(AH$19:AH$68,_xlpm.rad),IFERROR(IF(AND(_xlpm.typ="H",_xlpm.kod&lt;&gt;""),UPPER(_xlpm.kod),GP$18),GP$18))</f>
        <v>25</v>
      </c>
      <c r="GQ118" s="88" cm="1">
        <f t="array" ref="GQ118">_xlfn.LET(_xlpm.rad,$FO118+1,_xlpm.typ,INDEX($E$20:$E$68,_xlpm.rad),_xlpm.kod,INDEX(AI$19:AI$68,_xlpm.rad),IFERROR(IF(AND(_xlpm.typ="H",_xlpm.kod&lt;&gt;""),UPPER(_xlpm.kod),GQ$18),GQ$18))</f>
        <v>26</v>
      </c>
      <c r="GR118" s="88" cm="1">
        <f t="array" ref="GR118">_xlfn.LET(_xlpm.rad,$FO118+1,_xlpm.typ,INDEX($E$20:$E$68,_xlpm.rad),_xlpm.kod,INDEX(AJ$19:AJ$68,_xlpm.rad),IFERROR(IF(AND(_xlpm.typ="H",_xlpm.kod&lt;&gt;""),UPPER(_xlpm.kod),GR$18),GR$18))</f>
        <v>27</v>
      </c>
      <c r="GS118" s="88" cm="1">
        <f t="array" ref="GS118">_xlfn.LET(_xlpm.rad,$FO118+1,_xlpm.typ,INDEX($E$20:$E$68,_xlpm.rad),_xlpm.kod,INDEX(AK$19:AK$68,_xlpm.rad),IFERROR(IF(AND(_xlpm.typ="H",_xlpm.kod&lt;&gt;""),UPPER(_xlpm.kod),GS$18),GS$18))</f>
        <v>28</v>
      </c>
      <c r="GT118" s="88" cm="1">
        <f t="array" ref="GT118">_xlfn.LET(_xlpm.rad,$FO118+1,_xlpm.typ,INDEX($E$20:$E$68,_xlpm.rad),_xlpm.kod,INDEX(AL$19:AL$68,_xlpm.rad),IFERROR(IF(AND(_xlpm.typ="H",_xlpm.kod&lt;&gt;""),UPPER(_xlpm.kod),GT$18),GT$18))</f>
        <v>29</v>
      </c>
      <c r="GU118" s="88" cm="1">
        <f t="array" ref="GU118">_xlfn.LET(_xlpm.rad,$FO118+1,_xlpm.typ,INDEX($E$20:$E$68,_xlpm.rad),_xlpm.kod,INDEX(AM$19:AM$68,_xlpm.rad),IFERROR(IF(AND(_xlpm.typ="H",_xlpm.kod&lt;&gt;""),UPPER(_xlpm.kod),GU$18),GU$18))</f>
        <v>30</v>
      </c>
    </row>
    <row r="119" spans="7:203" x14ac:dyDescent="0.35">
      <c r="G119" s="116">
        <v>45988</v>
      </c>
      <c r="H119" s="117"/>
      <c r="I119" s="12" t="s">
        <v>2419</v>
      </c>
      <c r="J119" s="12" t="s">
        <v>2420</v>
      </c>
      <c r="EO119" s="88"/>
      <c r="EP119" s="88"/>
      <c r="EQ119" s="88"/>
      <c r="ER119" s="88"/>
      <c r="ES119" s="88"/>
      <c r="ET119" s="88"/>
      <c r="EU119" s="88"/>
      <c r="EV119" s="88"/>
      <c r="EW119" s="88"/>
      <c r="EX119" s="88"/>
      <c r="EY119" s="88"/>
      <c r="EZ119" s="88"/>
      <c r="FA119" s="88"/>
      <c r="FB119" s="88"/>
      <c r="FC119" s="88"/>
      <c r="FD119" s="88"/>
      <c r="FE119" s="88"/>
      <c r="FF119" s="88"/>
      <c r="FG119" s="88"/>
      <c r="FH119" s="88"/>
      <c r="FI119" s="88"/>
      <c r="FJ119" s="88"/>
      <c r="FK119" s="88"/>
      <c r="FL119" s="88"/>
      <c r="FM119" s="88"/>
      <c r="FN119" s="88"/>
      <c r="FR119" s="88" cm="1">
        <f t="array" ref="FR119">_xlfn.LET(_xlpm.rad,$FO118+1,_xlpm.typ,INDEX($E$20:$E$68,_xlpm.rad),_xlpm.kod,INDEX(J$19:J$68,_xlpm.rad),_xlpm.del,INDEX($F$19:$F$68,_xlpm.rad),IFERROR(IF(AND(_xlpm.typ="H",_xlpm.kod&lt;&gt;"",_xlpm.del&lt;&gt;"Hybrid - Thrust + 2 connections"),INDEX(Hyb_Tech,MATCH(_xlpm.kod,Hyb_Code,0)),FR$72),FR$72))</f>
        <v>1</v>
      </c>
      <c r="FS119" s="88" cm="1">
        <f t="array" ref="FS119">_xlfn.LET(_xlpm.rad,$FO118+1,_xlpm.typ,INDEX($E$20:$E$68,_xlpm.rad),_xlpm.kod,INDEX(K$19:K$68,_xlpm.rad),_xlpm.del,INDEX($F$19:$F$68,_xlpm.rad),IFERROR(IF(AND(_xlpm.typ="H",_xlpm.kod&lt;&gt;"",_xlpm.del&lt;&gt;"Hybrid - Thrust + 2 connections"),INDEX(Hyb_Tech,MATCH(_xlpm.kod,Hyb_Code,0)),FS$72),FS$72))</f>
        <v>2</v>
      </c>
      <c r="FT119" s="88" cm="1">
        <f t="array" ref="FT119">_xlfn.LET(_xlpm.rad,$FO118+1,_xlpm.typ,INDEX($E$20:$E$68,_xlpm.rad),_xlpm.kod,INDEX(L$19:L$68,_xlpm.rad),_xlpm.del,INDEX($F$19:$F$68,_xlpm.rad),IFERROR(IF(AND(_xlpm.typ="H",_xlpm.kod&lt;&gt;"",_xlpm.del&lt;&gt;"Hybrid - Thrust + 2 connections"),INDEX(Hyb_Tech,MATCH(_xlpm.kod,Hyb_Code,0)),FT$72),FT$72))</f>
        <v>3</v>
      </c>
      <c r="FU119" s="88" cm="1">
        <f t="array" ref="FU119">_xlfn.LET(_xlpm.rad,$FO118+1,_xlpm.typ,INDEX($E$20:$E$68,_xlpm.rad),_xlpm.kod,INDEX(M$19:M$68,_xlpm.rad),_xlpm.del,INDEX($F$19:$F$68,_xlpm.rad),IFERROR(IF(AND(_xlpm.typ="H",_xlpm.kod&lt;&gt;"",_xlpm.del&lt;&gt;"Hybrid - Thrust + 2 connections"),INDEX(Hyb_Tech,MATCH(_xlpm.kod,Hyb_Code,0)),FU$72),FU$72))</f>
        <v>4</v>
      </c>
      <c r="FV119" s="88" cm="1">
        <f t="array" ref="FV119">_xlfn.LET(_xlpm.rad,$FO118+1,_xlpm.typ,INDEX($E$20:$E$68,_xlpm.rad),_xlpm.kod,INDEX(N$19:N$68,_xlpm.rad),_xlpm.del,INDEX($F$19:$F$68,_xlpm.rad),IFERROR(IF(AND(_xlpm.typ="H",_xlpm.kod&lt;&gt;"",_xlpm.del&lt;&gt;"Hybrid - Thrust + 2 connections"),INDEX(Hyb_Tech,MATCH(_xlpm.kod,Hyb_Code,0)),FV$72),FV$72))</f>
        <v>5</v>
      </c>
      <c r="FW119" s="88" cm="1">
        <f t="array" ref="FW119">_xlfn.LET(_xlpm.rad,$FO118+1,_xlpm.typ,INDEX($E$20:$E$68,_xlpm.rad),_xlpm.kod,INDEX(O$19:O$68,_xlpm.rad),_xlpm.del,INDEX($F$19:$F$68,_xlpm.rad),IFERROR(IF(AND(_xlpm.typ="H",_xlpm.kod&lt;&gt;"",_xlpm.del&lt;&gt;"Hybrid - Thrust + 2 connections"),INDEX(Hyb_Tech,MATCH(_xlpm.kod,Hyb_Code,0)),FW$72),FW$72))</f>
        <v>6</v>
      </c>
      <c r="FX119" s="88" cm="1">
        <f t="array" ref="FX119">_xlfn.LET(_xlpm.rad,$FO118+1,_xlpm.typ,INDEX($E$20:$E$68,_xlpm.rad),_xlpm.kod,INDEX(P$19:P$68,_xlpm.rad),_xlpm.del,INDEX($F$19:$F$68,_xlpm.rad),IFERROR(IF(AND(_xlpm.typ="H",_xlpm.kod&lt;&gt;"",_xlpm.del&lt;&gt;"Hybrid - Thrust + 2 connections"),INDEX(Hyb_Tech,MATCH(_xlpm.kod,Hyb_Code,0)),FX$72),FX$72))</f>
        <v>7</v>
      </c>
      <c r="FY119" s="88" cm="1">
        <f t="array" ref="FY119">_xlfn.LET(_xlpm.rad,$FO118+1,_xlpm.typ,INDEX($E$20:$E$68,_xlpm.rad),_xlpm.kod,INDEX(Q$19:Q$68,_xlpm.rad),_xlpm.del,INDEX($F$19:$F$68,_xlpm.rad),IFERROR(IF(AND(_xlpm.typ="H",_xlpm.kod&lt;&gt;"",_xlpm.del&lt;&gt;"Hybrid - Thrust + 2 connections"),INDEX(Hyb_Tech,MATCH(_xlpm.kod,Hyb_Code,0)),FY$72),FY$72))</f>
        <v>8</v>
      </c>
      <c r="FZ119" s="88" cm="1">
        <f t="array" ref="FZ119">_xlfn.LET(_xlpm.rad,$FO118+1,_xlpm.typ,INDEX($E$20:$E$68,_xlpm.rad),_xlpm.kod,INDEX(R$19:R$68,_xlpm.rad),_xlpm.del,INDEX($F$19:$F$68,_xlpm.rad),IFERROR(IF(AND(_xlpm.typ="H",_xlpm.kod&lt;&gt;"",_xlpm.del&lt;&gt;"Hybrid - Thrust + 2 connections"),INDEX(Hyb_Tech,MATCH(_xlpm.kod,Hyb_Code,0)),FZ$72),FZ$72))</f>
        <v>9</v>
      </c>
      <c r="GA119" s="88" cm="1">
        <f t="array" ref="GA119">_xlfn.LET(_xlpm.rad,$FO118+1,_xlpm.typ,INDEX($E$20:$E$68,_xlpm.rad),_xlpm.kod,INDEX(S$19:S$68,_xlpm.rad),_xlpm.del,INDEX($F$19:$F$68,_xlpm.rad),IFERROR(IF(AND(_xlpm.typ="H",_xlpm.kod&lt;&gt;"",_xlpm.del&lt;&gt;"Hybrid - Thrust + 2 connections"),INDEX(Hyb_Tech,MATCH(_xlpm.kod,Hyb_Code,0)),GA$72),GA$72))</f>
        <v>10</v>
      </c>
      <c r="GB119" s="88" cm="1">
        <f t="array" ref="GB119">_xlfn.LET(_xlpm.rad,$FO118+1,_xlpm.typ,INDEX($E$20:$E$68,_xlpm.rad),_xlpm.kod,INDEX(T$19:T$68,_xlpm.rad),_xlpm.del,INDEX($F$19:$F$68,_xlpm.rad),IFERROR(IF(AND(_xlpm.typ="H",_xlpm.kod&lt;&gt;"",_xlpm.del&lt;&gt;"Hybrid - Thrust + 2 connections"),INDEX(Hyb_Tech,MATCH(_xlpm.kod,Hyb_Code,0)),GB$72),GB$72))</f>
        <v>11</v>
      </c>
      <c r="GC119" s="88" cm="1">
        <f t="array" ref="GC119">_xlfn.LET(_xlpm.rad,$FO118+1,_xlpm.typ,INDEX($E$20:$E$68,_xlpm.rad),_xlpm.kod,INDEX(U$19:U$68,_xlpm.rad),_xlpm.del,INDEX($F$19:$F$68,_xlpm.rad),IFERROR(IF(AND(_xlpm.typ="H",_xlpm.kod&lt;&gt;"",_xlpm.del&lt;&gt;"Hybrid - Thrust + 2 connections"),INDEX(Hyb_Tech,MATCH(_xlpm.kod,Hyb_Code,0)),GC$72),GC$72))</f>
        <v>12</v>
      </c>
      <c r="GD119" s="88" cm="1">
        <f t="array" ref="GD119">_xlfn.LET(_xlpm.rad,$FO118+1,_xlpm.typ,INDEX($E$20:$E$68,_xlpm.rad),_xlpm.kod,INDEX(V$19:V$68,_xlpm.rad),_xlpm.del,INDEX($F$19:$F$68,_xlpm.rad),IFERROR(IF(AND(_xlpm.typ="H",_xlpm.kod&lt;&gt;"",_xlpm.del&lt;&gt;"Hybrid - Thrust + 2 connections"),INDEX(Hyb_Tech,MATCH(_xlpm.kod,Hyb_Code,0)),GD$72),GD$72))</f>
        <v>13</v>
      </c>
      <c r="GE119" s="88" cm="1">
        <f t="array" ref="GE119">_xlfn.LET(_xlpm.rad,$FO118+1,_xlpm.typ,INDEX($E$20:$E$68,_xlpm.rad),_xlpm.kod,INDEX(W$19:W$68,_xlpm.rad),_xlpm.del,INDEX($F$19:$F$68,_xlpm.rad),IFERROR(IF(AND(_xlpm.typ="H",_xlpm.kod&lt;&gt;"",_xlpm.del&lt;&gt;"Hybrid - Thrust + 2 connections"),INDEX(Hyb_Tech,MATCH(_xlpm.kod,Hyb_Code,0)),GE$72),GE$72))</f>
        <v>14</v>
      </c>
      <c r="GF119" s="88" cm="1">
        <f t="array" ref="GF119">_xlfn.LET(_xlpm.rad,$FO118+1,_xlpm.typ,INDEX($E$20:$E$68,_xlpm.rad),_xlpm.kod,INDEX(X$19:X$68,_xlpm.rad),_xlpm.del,INDEX($F$19:$F$68,_xlpm.rad),IFERROR(IF(AND(_xlpm.typ="H",_xlpm.kod&lt;&gt;"",_xlpm.del&lt;&gt;"Hybrid - Thrust + 2 connections"),INDEX(Hyb_Tech,MATCH(_xlpm.kod,Hyb_Code,0)),GF$72),GF$72))</f>
        <v>15</v>
      </c>
      <c r="GG119" s="88" cm="1">
        <f t="array" ref="GG119">_xlfn.LET(_xlpm.rad,$FO118+1,_xlpm.typ,INDEX($E$20:$E$68,_xlpm.rad),_xlpm.kod,INDEX(Y$19:Y$68,_xlpm.rad),_xlpm.del,INDEX($F$19:$F$68,_xlpm.rad),IFERROR(IF(AND(_xlpm.typ="H",_xlpm.kod&lt;&gt;"",_xlpm.del&lt;&gt;"Hybrid - Thrust + 2 connections"),INDEX(Hyb_Tech,MATCH(_xlpm.kod,Hyb_Code,0)),GG$72),GG$72))</f>
        <v>16</v>
      </c>
      <c r="GH119" s="88" cm="1">
        <f t="array" ref="GH119">_xlfn.LET(_xlpm.rad,$FO118+1,_xlpm.typ,INDEX($E$20:$E$68,_xlpm.rad),_xlpm.kod,INDEX(Z$19:Z$68,_xlpm.rad),_xlpm.del,INDEX($F$19:$F$68,_xlpm.rad),IFERROR(IF(AND(_xlpm.typ="H",_xlpm.kod&lt;&gt;"",_xlpm.del&lt;&gt;"Hybrid - Thrust + 2 connections"),INDEX(Hyb_Tech,MATCH(_xlpm.kod,Hyb_Code,0)),GH$72),GH$72))</f>
        <v>17</v>
      </c>
      <c r="GI119" s="88" cm="1">
        <f t="array" ref="GI119">_xlfn.LET(_xlpm.rad,$FO118+1,_xlpm.typ,INDEX($E$20:$E$68,_xlpm.rad),_xlpm.kod,INDEX(AA$19:AA$68,_xlpm.rad),_xlpm.del,INDEX($F$19:$F$68,_xlpm.rad),IFERROR(IF(AND(_xlpm.typ="H",_xlpm.kod&lt;&gt;"",_xlpm.del&lt;&gt;"Hybrid - Thrust + 2 connections"),INDEX(Hyb_Tech,MATCH(_xlpm.kod,Hyb_Code,0)),GI$72),GI$72))</f>
        <v>18</v>
      </c>
      <c r="GJ119" s="88" cm="1">
        <f t="array" ref="GJ119">_xlfn.LET(_xlpm.rad,$FO118+1,_xlpm.typ,INDEX($E$20:$E$68,_xlpm.rad),_xlpm.kod,INDEX(AB$19:AB$68,_xlpm.rad),_xlpm.del,INDEX($F$19:$F$68,_xlpm.rad),IFERROR(IF(AND(_xlpm.typ="H",_xlpm.kod&lt;&gt;"",_xlpm.del&lt;&gt;"Hybrid - Thrust + 2 connections"),INDEX(Hyb_Tech,MATCH(_xlpm.kod,Hyb_Code,0)),GJ$72),GJ$72))</f>
        <v>19</v>
      </c>
      <c r="GK119" s="88" cm="1">
        <f t="array" ref="GK119">_xlfn.LET(_xlpm.rad,$FO118+1,_xlpm.typ,INDEX($E$20:$E$68,_xlpm.rad),_xlpm.kod,INDEX(AC$19:AC$68,_xlpm.rad),_xlpm.del,INDEX($F$19:$F$68,_xlpm.rad),IFERROR(IF(AND(_xlpm.typ="H",_xlpm.kod&lt;&gt;"",_xlpm.del&lt;&gt;"Hybrid - Thrust + 2 connections"),INDEX(Hyb_Tech,MATCH(_xlpm.kod,Hyb_Code,0)),GK$72),GK$72))</f>
        <v>20</v>
      </c>
      <c r="GL119" s="88" cm="1">
        <f t="array" ref="GL119">_xlfn.LET(_xlpm.rad,$FO118+1,_xlpm.typ,INDEX($E$20:$E$68,_xlpm.rad),_xlpm.kod,INDEX(AD$19:AD$68,_xlpm.rad),_xlpm.del,INDEX($F$19:$F$68,_xlpm.rad),IFERROR(IF(AND(_xlpm.typ="H",_xlpm.kod&lt;&gt;"",_xlpm.del&lt;&gt;"Hybrid - Thrust + 2 connections"),INDEX(Hyb_Tech,MATCH(_xlpm.kod,Hyb_Code,0)),GL$72),GL$72))</f>
        <v>21</v>
      </c>
      <c r="GM119" s="88" cm="1">
        <f t="array" ref="GM119">_xlfn.LET(_xlpm.rad,$FO118+1,_xlpm.typ,INDEX($E$20:$E$68,_xlpm.rad),_xlpm.kod,INDEX(AE$19:AE$68,_xlpm.rad),_xlpm.del,INDEX($F$19:$F$68,_xlpm.rad),IFERROR(IF(AND(_xlpm.typ="H",_xlpm.kod&lt;&gt;"",_xlpm.del&lt;&gt;"Hybrid - Thrust + 2 connections"),INDEX(Hyb_Tech,MATCH(_xlpm.kod,Hyb_Code,0)),GM$72),GM$72))</f>
        <v>22</v>
      </c>
      <c r="GN119" s="88" cm="1">
        <f t="array" ref="GN119">_xlfn.LET(_xlpm.rad,$FO118+1,_xlpm.typ,INDEX($E$20:$E$68,_xlpm.rad),_xlpm.kod,INDEX(AF$19:AF$68,_xlpm.rad),_xlpm.del,INDEX($F$19:$F$68,_xlpm.rad),IFERROR(IF(AND(_xlpm.typ="H",_xlpm.kod&lt;&gt;"",_xlpm.del&lt;&gt;"Hybrid - Thrust + 2 connections"),INDEX(Hyb_Tech,MATCH(_xlpm.kod,Hyb_Code,0)),GN$72),GN$72))</f>
        <v>23</v>
      </c>
      <c r="GO119" s="88" cm="1">
        <f t="array" ref="GO119">_xlfn.LET(_xlpm.rad,$FO118+1,_xlpm.typ,INDEX($E$20:$E$68,_xlpm.rad),_xlpm.kod,INDEX(AG$19:AG$68,_xlpm.rad),_xlpm.del,INDEX($F$19:$F$68,_xlpm.rad),IFERROR(IF(AND(_xlpm.typ="H",_xlpm.kod&lt;&gt;"",_xlpm.del&lt;&gt;"Hybrid - Thrust + 2 connections"),INDEX(Hyb_Tech,MATCH(_xlpm.kod,Hyb_Code,0)),GO$72),GO$72))</f>
        <v>24</v>
      </c>
      <c r="GP119" s="88" cm="1">
        <f t="array" ref="GP119">_xlfn.LET(_xlpm.rad,$FO118+1,_xlpm.typ,INDEX($E$20:$E$68,_xlpm.rad),_xlpm.kod,INDEX(AH$19:AH$68,_xlpm.rad),_xlpm.del,INDEX($F$19:$F$68,_xlpm.rad),IFERROR(IF(AND(_xlpm.typ="H",_xlpm.kod&lt;&gt;"",_xlpm.del&lt;&gt;"Hybrid - Thrust + 2 connections"),INDEX(Hyb_Tech,MATCH(_xlpm.kod,Hyb_Code,0)),GP$72),GP$72))</f>
        <v>25</v>
      </c>
      <c r="GQ119" s="88" cm="1">
        <f t="array" ref="GQ119">_xlfn.LET(_xlpm.rad,$FO118+1,_xlpm.typ,INDEX($E$20:$E$68,_xlpm.rad),_xlpm.kod,INDEX(AI$19:AI$68,_xlpm.rad),_xlpm.del,INDEX($F$19:$F$68,_xlpm.rad),IFERROR(IF(AND(_xlpm.typ="H",_xlpm.kod&lt;&gt;"",_xlpm.del&lt;&gt;"Hybrid - Thrust + 2 connections"),INDEX(Hyb_Tech,MATCH(_xlpm.kod,Hyb_Code,0)),GQ$72),GQ$72))</f>
        <v>26</v>
      </c>
      <c r="GR119" s="88" cm="1">
        <f t="array" ref="GR119">_xlfn.LET(_xlpm.rad,$FO118+1,_xlpm.typ,INDEX($E$20:$E$68,_xlpm.rad),_xlpm.kod,INDEX(AJ$19:AJ$68,_xlpm.rad),_xlpm.del,INDEX($F$19:$F$68,_xlpm.rad),IFERROR(IF(AND(_xlpm.typ="H",_xlpm.kod&lt;&gt;"",_xlpm.del&lt;&gt;"Hybrid - Thrust + 2 connections"),INDEX(Hyb_Tech,MATCH(_xlpm.kod,Hyb_Code,0)),GR$72),GR$72))</f>
        <v>27</v>
      </c>
      <c r="GS119" s="88" cm="1">
        <f t="array" ref="GS119">_xlfn.LET(_xlpm.rad,$FO118+1,_xlpm.typ,INDEX($E$20:$E$68,_xlpm.rad),_xlpm.kod,INDEX(AK$19:AK$68,_xlpm.rad),_xlpm.del,INDEX($F$19:$F$68,_xlpm.rad),IFERROR(IF(AND(_xlpm.typ="H",_xlpm.kod&lt;&gt;"",_xlpm.del&lt;&gt;"Hybrid - Thrust + 2 connections"),INDEX(Hyb_Tech,MATCH(_xlpm.kod,Hyb_Code,0)),GS$72),GS$72))</f>
        <v>28</v>
      </c>
      <c r="GT119" s="88" cm="1">
        <f t="array" ref="GT119">_xlfn.LET(_xlpm.rad,$FO118+1,_xlpm.typ,INDEX($E$20:$E$68,_xlpm.rad),_xlpm.kod,INDEX(AL$19:AL$68,_xlpm.rad),_xlpm.del,INDEX($F$19:$F$68,_xlpm.rad),IFERROR(IF(AND(_xlpm.typ="H",_xlpm.kod&lt;&gt;"",_xlpm.del&lt;&gt;"Hybrid - Thrust + 2 connections"),INDEX(Hyb_Tech,MATCH(_xlpm.kod,Hyb_Code,0)),GT$72),GT$72))</f>
        <v>29</v>
      </c>
      <c r="GU119" s="88" cm="1">
        <f t="array" ref="GU119">_xlfn.LET(_xlpm.rad,$FO118+1,_xlpm.typ,INDEX($E$20:$E$68,_xlpm.rad),_xlpm.kod,INDEX(AM$19:AM$68,_xlpm.rad),_xlpm.del,INDEX($F$19:$F$68,_xlpm.rad),IFERROR(IF(AND(_xlpm.typ="H",_xlpm.kod&lt;&gt;"",_xlpm.del&lt;&gt;"Hybrid - Thrust + 2 connections"),INDEX(Hyb_Tech,MATCH(_xlpm.kod,Hyb_Code,0)),GU$72),GU$72))</f>
        <v>30</v>
      </c>
    </row>
    <row r="120" spans="7:203" x14ac:dyDescent="0.35">
      <c r="G120" s="116">
        <v>46005</v>
      </c>
      <c r="H120" s="117"/>
      <c r="I120" s="12" t="s">
        <v>2421</v>
      </c>
      <c r="J120" s="12" t="s">
        <v>2422</v>
      </c>
      <c r="EM120" s="91"/>
      <c r="EN120" s="91"/>
      <c r="FP120" s="91" t="str" cm="1">
        <f t="array" ref="FP120">IFERROR(IF($T$5="",IF(COUNTIF(FR120:GU120,1)&gt;$FP$18,INDEX($FR$73:$GU$170,$FO118*5/2+1,MATCH(1,FR120:GU120,0)),""),IF(SUM(FR120:GU120)&gt;2,INDEX($FR$73:$GU$170,$FO118*5/2+1,MATCH(1,FR120:GU120,0)),"")),"")</f>
        <v/>
      </c>
      <c r="FQ120" s="88" t="str" cm="1">
        <f t="array" ref="FQ120">IFERROR(IF(LEFT(FP120,1)="C",IF(RIGHT(FP120,1)="+",LEFT(FP120,LEN(FP120)-1),CONCATENATE(FP120,"+")),IF(SUM($FR120:$GU120)&gt;$FP$18,INDEX($FR$73:$GU$170,$FO118*5/2+1,MATCH(0.5,FR120:GU120,0)),"")),"")</f>
        <v/>
      </c>
      <c r="FR120" s="88" t="str">
        <f t="shared" ref="FR120:GU120" si="3383">IF(AND($BV$6="D",LEFT(FR118,1)="C"),IF(COUNTIF($FR119:$GU119,FR119)&gt;$FP$18,INDEX(Hyb_Tech_Value,MATCH(FR118,Hyb_Code,0)),""),IF(COUNTIF($FR119:$GU119,FR119)&gt;$FP$18,INDEX(Hyb_Tech_Value,MATCH(FR118,Hyb_Code,0)),""))</f>
        <v/>
      </c>
      <c r="FS120" s="88" t="str">
        <f t="shared" si="3383"/>
        <v/>
      </c>
      <c r="FT120" s="88" t="str">
        <f t="shared" si="3383"/>
        <v/>
      </c>
      <c r="FU120" s="88" t="str">
        <f t="shared" si="3383"/>
        <v/>
      </c>
      <c r="FV120" s="88" t="str">
        <f t="shared" si="3383"/>
        <v/>
      </c>
      <c r="FW120" s="88" t="str">
        <f t="shared" si="3383"/>
        <v/>
      </c>
      <c r="FX120" s="88" t="str">
        <f t="shared" si="3383"/>
        <v/>
      </c>
      <c r="FY120" s="88" t="str">
        <f t="shared" si="3383"/>
        <v/>
      </c>
      <c r="FZ120" s="88" t="str">
        <f t="shared" si="3383"/>
        <v/>
      </c>
      <c r="GA120" s="88" t="str">
        <f t="shared" si="3383"/>
        <v/>
      </c>
      <c r="GB120" s="88" t="str">
        <f t="shared" si="3383"/>
        <v/>
      </c>
      <c r="GC120" s="88" t="str">
        <f t="shared" si="3383"/>
        <v/>
      </c>
      <c r="GD120" s="88" t="str">
        <f t="shared" si="3383"/>
        <v/>
      </c>
      <c r="GE120" s="88" t="str">
        <f t="shared" si="3383"/>
        <v/>
      </c>
      <c r="GF120" s="88" t="str">
        <f t="shared" si="3383"/>
        <v/>
      </c>
      <c r="GG120" s="88" t="str">
        <f t="shared" si="3383"/>
        <v/>
      </c>
      <c r="GH120" s="88" t="str">
        <f t="shared" si="3383"/>
        <v/>
      </c>
      <c r="GI120" s="88" t="str">
        <f t="shared" si="3383"/>
        <v/>
      </c>
      <c r="GJ120" s="88" t="str">
        <f t="shared" si="3383"/>
        <v/>
      </c>
      <c r="GK120" s="88" t="str">
        <f t="shared" si="3383"/>
        <v/>
      </c>
      <c r="GL120" s="88" t="str">
        <f t="shared" si="3383"/>
        <v/>
      </c>
      <c r="GM120" s="88" t="str">
        <f t="shared" si="3383"/>
        <v/>
      </c>
      <c r="GN120" s="88" t="str">
        <f t="shared" si="3383"/>
        <v/>
      </c>
      <c r="GO120" s="88" t="str">
        <f t="shared" si="3383"/>
        <v/>
      </c>
      <c r="GP120" s="88" t="str">
        <f t="shared" si="3383"/>
        <v/>
      </c>
      <c r="GQ120" s="88" t="str">
        <f t="shared" si="3383"/>
        <v/>
      </c>
      <c r="GR120" s="88" t="str">
        <f t="shared" si="3383"/>
        <v/>
      </c>
      <c r="GS120" s="88" t="str">
        <f t="shared" si="3383"/>
        <v/>
      </c>
      <c r="GT120" s="88" t="str">
        <f t="shared" si="3383"/>
        <v/>
      </c>
      <c r="GU120" s="88" t="str">
        <f t="shared" si="3383"/>
        <v/>
      </c>
    </row>
    <row r="121" spans="7:203" x14ac:dyDescent="0.35">
      <c r="G121" s="116">
        <v>46006</v>
      </c>
      <c r="H121" s="117"/>
      <c r="I121" s="12" t="s">
        <v>2423</v>
      </c>
      <c r="J121" s="12" t="s">
        <v>2424</v>
      </c>
      <c r="EO121" s="88"/>
      <c r="EP121" s="88"/>
      <c r="EQ121" s="88"/>
      <c r="ER121" s="88"/>
      <c r="ES121" s="88"/>
      <c r="ET121" s="88"/>
      <c r="EU121" s="88"/>
      <c r="EV121" s="88"/>
      <c r="EW121" s="88"/>
      <c r="EX121" s="88"/>
      <c r="EY121" s="88"/>
      <c r="EZ121" s="88"/>
      <c r="FA121" s="88"/>
      <c r="FB121" s="88"/>
      <c r="FC121" s="88"/>
      <c r="FD121" s="88"/>
      <c r="FE121" s="88"/>
      <c r="FF121" s="88"/>
      <c r="FG121" s="88"/>
      <c r="FH121" s="88"/>
      <c r="FI121" s="88"/>
      <c r="FJ121" s="88"/>
      <c r="FK121" s="88"/>
      <c r="FL121" s="88"/>
      <c r="FM121" s="88"/>
      <c r="FN121" s="88"/>
      <c r="FQ121" s="88"/>
      <c r="FR121" s="88" t="str">
        <f t="shared" ref="FR121:GU121" si="3384">IFERROR(IF(LEFT(FR118,FIND("*",FR118)-1)=LEFT($FQ$73,FIND("*",$FQ$73)-1),0.5,""),"")</f>
        <v/>
      </c>
      <c r="FS121" s="88" t="str">
        <f t="shared" si="3384"/>
        <v/>
      </c>
      <c r="FT121" s="88" t="str">
        <f t="shared" si="3384"/>
        <v/>
      </c>
      <c r="FU121" s="88" t="str">
        <f t="shared" si="3384"/>
        <v/>
      </c>
      <c r="FV121" s="88" t="str">
        <f t="shared" si="3384"/>
        <v/>
      </c>
      <c r="FW121" s="88" t="str">
        <f t="shared" si="3384"/>
        <v/>
      </c>
      <c r="FX121" s="88" t="str">
        <f t="shared" si="3384"/>
        <v/>
      </c>
      <c r="FY121" s="88" t="str">
        <f t="shared" si="3384"/>
        <v/>
      </c>
      <c r="FZ121" s="88" t="str">
        <f t="shared" si="3384"/>
        <v/>
      </c>
      <c r="GA121" s="88" t="str">
        <f t="shared" si="3384"/>
        <v/>
      </c>
      <c r="GB121" s="88" t="str">
        <f t="shared" si="3384"/>
        <v/>
      </c>
      <c r="GC121" s="88" t="str">
        <f t="shared" si="3384"/>
        <v/>
      </c>
      <c r="GD121" s="88" t="str">
        <f t="shared" si="3384"/>
        <v/>
      </c>
      <c r="GE121" s="88" t="str">
        <f t="shared" si="3384"/>
        <v/>
      </c>
      <c r="GF121" s="88" t="str">
        <f t="shared" si="3384"/>
        <v/>
      </c>
      <c r="GG121" s="88" t="str">
        <f t="shared" si="3384"/>
        <v/>
      </c>
      <c r="GH121" s="88" t="str">
        <f t="shared" si="3384"/>
        <v/>
      </c>
      <c r="GI121" s="88" t="str">
        <f t="shared" si="3384"/>
        <v/>
      </c>
      <c r="GJ121" s="88" t="str">
        <f t="shared" si="3384"/>
        <v/>
      </c>
      <c r="GK121" s="88" t="str">
        <f t="shared" si="3384"/>
        <v/>
      </c>
      <c r="GL121" s="88" t="str">
        <f t="shared" si="3384"/>
        <v/>
      </c>
      <c r="GM121" s="88" t="str">
        <f t="shared" si="3384"/>
        <v/>
      </c>
      <c r="GN121" s="88" t="str">
        <f t="shared" si="3384"/>
        <v/>
      </c>
      <c r="GO121" s="88" t="str">
        <f t="shared" si="3384"/>
        <v/>
      </c>
      <c r="GP121" s="88" t="str">
        <f t="shared" si="3384"/>
        <v/>
      </c>
      <c r="GQ121" s="88" t="str">
        <f t="shared" si="3384"/>
        <v/>
      </c>
      <c r="GR121" s="88" t="str">
        <f t="shared" si="3384"/>
        <v/>
      </c>
      <c r="GS121" s="88" t="str">
        <f t="shared" si="3384"/>
        <v/>
      </c>
      <c r="GT121" s="88" t="str">
        <f t="shared" si="3384"/>
        <v/>
      </c>
      <c r="GU121" s="88" t="str">
        <f t="shared" si="3384"/>
        <v/>
      </c>
    </row>
    <row r="122" spans="7:203" x14ac:dyDescent="0.35">
      <c r="G122" s="116">
        <v>46047</v>
      </c>
      <c r="H122" s="117"/>
      <c r="I122" s="12" t="s">
        <v>2425</v>
      </c>
      <c r="J122" s="12" t="s">
        <v>2426</v>
      </c>
      <c r="EM122" s="91"/>
      <c r="EN122" s="91"/>
      <c r="FQ122" s="88"/>
      <c r="FR122" s="88"/>
      <c r="FS122" s="88"/>
      <c r="FT122" s="88"/>
      <c r="FU122" s="88"/>
      <c r="FV122" s="88"/>
      <c r="FW122" s="88"/>
      <c r="FX122" s="88"/>
      <c r="FY122" s="88"/>
      <c r="FZ122" s="88"/>
      <c r="GA122" s="88"/>
      <c r="GB122" s="88"/>
      <c r="GC122" s="88"/>
      <c r="GD122" s="88"/>
      <c r="GE122" s="88"/>
      <c r="GF122" s="88"/>
      <c r="GG122" s="88"/>
      <c r="GH122" s="88"/>
      <c r="GI122" s="88"/>
      <c r="GJ122" s="88"/>
      <c r="GK122" s="88"/>
      <c r="GL122" s="88"/>
      <c r="GM122" s="88"/>
      <c r="GN122" s="88"/>
      <c r="GO122" s="88"/>
      <c r="GP122" s="88"/>
      <c r="GQ122" s="88"/>
      <c r="GR122" s="88"/>
      <c r="GS122" s="88"/>
      <c r="GT122" s="88"/>
      <c r="GU122" s="88"/>
    </row>
    <row r="123" spans="7:203" x14ac:dyDescent="0.35">
      <c r="G123" s="116">
        <v>46059</v>
      </c>
      <c r="H123" s="117"/>
      <c r="I123" s="12" t="s">
        <v>2427</v>
      </c>
      <c r="J123" s="12" t="s">
        <v>2428</v>
      </c>
      <c r="EO123" s="88"/>
      <c r="EP123" s="88"/>
      <c r="EQ123" s="88"/>
      <c r="ER123" s="88"/>
      <c r="ES123" s="88"/>
      <c r="ET123" s="88"/>
      <c r="EU123" s="88"/>
      <c r="EV123" s="88"/>
      <c r="EW123" s="88"/>
      <c r="EX123" s="88"/>
      <c r="EY123" s="88"/>
      <c r="EZ123" s="88"/>
      <c r="FA123" s="88"/>
      <c r="FB123" s="88"/>
      <c r="FC123" s="88"/>
      <c r="FD123" s="88"/>
      <c r="FE123" s="88"/>
      <c r="FF123" s="88"/>
      <c r="FG123" s="88"/>
      <c r="FH123" s="88"/>
      <c r="FI123" s="88"/>
      <c r="FJ123" s="88"/>
      <c r="FK123" s="88"/>
      <c r="FL123" s="88"/>
      <c r="FM123" s="88"/>
      <c r="FN123" s="88"/>
      <c r="FO123" s="91">
        <v>20</v>
      </c>
      <c r="FP123" s="88" t="str">
        <f t="shared" ref="FP123" si="3385">IF(SUM(FR126:GU126)&gt;2,FQ123,"")</f>
        <v/>
      </c>
      <c r="FQ123" s="88" t="str" cm="1">
        <f t="array" ref="FQ123">IF(SUM(FR125:GU125)&gt;0,_xlfn.LET(_xlpm.area,FR123:GU123,_xlpm.texts,_xlfn.UNIQUE(_xlfn._xlws.FILTER(_xlpm.area,_xlpm.area&lt;&gt;"")),_xlpm.number,COUNTIF(_xlpm.area,_xlpm.texts),INDEX(_xlpm.texts,MATCH(MAX(_xlpm.number),_xlpm.number,0))),"")</f>
        <v/>
      </c>
      <c r="FR123" s="88" cm="1">
        <f t="array" ref="FR123">_xlfn.LET(_xlpm.rad,$FO123+1,_xlpm.typ,INDEX($E$20:$E$68,_xlpm.rad),_xlpm.kod,INDEX(J$19:J$68,_xlpm.rad),IFERROR(IF(AND(_xlpm.typ="H",_xlpm.kod&lt;&gt;""),UPPER(_xlpm.kod),FR$18),FR$18))</f>
        <v>1</v>
      </c>
      <c r="FS123" s="88" cm="1">
        <f t="array" ref="FS123">_xlfn.LET(_xlpm.rad,$FO123+1,_xlpm.typ,INDEX($E$20:$E$68,_xlpm.rad),_xlpm.kod,INDEX(K$19:K$68,_xlpm.rad),IFERROR(IF(AND(_xlpm.typ="H",_xlpm.kod&lt;&gt;""),UPPER(_xlpm.kod),FS$18),FS$18))</f>
        <v>2</v>
      </c>
      <c r="FT123" s="88" cm="1">
        <f t="array" ref="FT123">_xlfn.LET(_xlpm.rad,$FO123+1,_xlpm.typ,INDEX($E$20:$E$68,_xlpm.rad),_xlpm.kod,INDEX(L$19:L$68,_xlpm.rad),IFERROR(IF(AND(_xlpm.typ="H",_xlpm.kod&lt;&gt;""),UPPER(_xlpm.kod),FT$18),FT$18))</f>
        <v>3</v>
      </c>
      <c r="FU123" s="88" cm="1">
        <f t="array" ref="FU123">_xlfn.LET(_xlpm.rad,$FO123+1,_xlpm.typ,INDEX($E$20:$E$68,_xlpm.rad),_xlpm.kod,INDEX(M$19:M$68,_xlpm.rad),IFERROR(IF(AND(_xlpm.typ="H",_xlpm.kod&lt;&gt;""),UPPER(_xlpm.kod),FU$18),FU$18))</f>
        <v>4</v>
      </c>
      <c r="FV123" s="88" cm="1">
        <f t="array" ref="FV123">_xlfn.LET(_xlpm.rad,$FO123+1,_xlpm.typ,INDEX($E$20:$E$68,_xlpm.rad),_xlpm.kod,INDEX(N$19:N$68,_xlpm.rad),IFERROR(IF(AND(_xlpm.typ="H",_xlpm.kod&lt;&gt;""),UPPER(_xlpm.kod),FV$18),FV$18))</f>
        <v>5</v>
      </c>
      <c r="FW123" s="88" cm="1">
        <f t="array" ref="FW123">_xlfn.LET(_xlpm.rad,$FO123+1,_xlpm.typ,INDEX($E$20:$E$68,_xlpm.rad),_xlpm.kod,INDEX(O$19:O$68,_xlpm.rad),IFERROR(IF(AND(_xlpm.typ="H",_xlpm.kod&lt;&gt;""),UPPER(_xlpm.kod),FW$18),FW$18))</f>
        <v>6</v>
      </c>
      <c r="FX123" s="88" cm="1">
        <f t="array" ref="FX123">_xlfn.LET(_xlpm.rad,$FO123+1,_xlpm.typ,INDEX($E$20:$E$68,_xlpm.rad),_xlpm.kod,INDEX(P$19:P$68,_xlpm.rad),IFERROR(IF(AND(_xlpm.typ="H",_xlpm.kod&lt;&gt;""),UPPER(_xlpm.kod),FX$18),FX$18))</f>
        <v>7</v>
      </c>
      <c r="FY123" s="88" cm="1">
        <f t="array" ref="FY123">_xlfn.LET(_xlpm.rad,$FO123+1,_xlpm.typ,INDEX($E$20:$E$68,_xlpm.rad),_xlpm.kod,INDEX(Q$19:Q$68,_xlpm.rad),IFERROR(IF(AND(_xlpm.typ="H",_xlpm.kod&lt;&gt;""),UPPER(_xlpm.kod),FY$18),FY$18))</f>
        <v>8</v>
      </c>
      <c r="FZ123" s="88" cm="1">
        <f t="array" ref="FZ123">_xlfn.LET(_xlpm.rad,$FO123+1,_xlpm.typ,INDEX($E$20:$E$68,_xlpm.rad),_xlpm.kod,INDEX(R$19:R$68,_xlpm.rad),IFERROR(IF(AND(_xlpm.typ="H",_xlpm.kod&lt;&gt;""),UPPER(_xlpm.kod),FZ$18),FZ$18))</f>
        <v>9</v>
      </c>
      <c r="GA123" s="88" cm="1">
        <f t="array" ref="GA123">_xlfn.LET(_xlpm.rad,$FO123+1,_xlpm.typ,INDEX($E$20:$E$68,_xlpm.rad),_xlpm.kod,INDEX(S$19:S$68,_xlpm.rad),IFERROR(IF(AND(_xlpm.typ="H",_xlpm.kod&lt;&gt;""),UPPER(_xlpm.kod),GA$18),GA$18))</f>
        <v>10</v>
      </c>
      <c r="GB123" s="88" cm="1">
        <f t="array" ref="GB123">_xlfn.LET(_xlpm.rad,$FO123+1,_xlpm.typ,INDEX($E$20:$E$68,_xlpm.rad),_xlpm.kod,INDEX(T$19:T$68,_xlpm.rad),IFERROR(IF(AND(_xlpm.typ="H",_xlpm.kod&lt;&gt;""),UPPER(_xlpm.kod),GB$18),GB$18))</f>
        <v>11</v>
      </c>
      <c r="GC123" s="88" cm="1">
        <f t="array" ref="GC123">_xlfn.LET(_xlpm.rad,$FO123+1,_xlpm.typ,INDEX($E$20:$E$68,_xlpm.rad),_xlpm.kod,INDEX(U$19:U$68,_xlpm.rad),IFERROR(IF(AND(_xlpm.typ="H",_xlpm.kod&lt;&gt;""),UPPER(_xlpm.kod),GC$18),GC$18))</f>
        <v>12</v>
      </c>
      <c r="GD123" s="88" cm="1">
        <f t="array" ref="GD123">_xlfn.LET(_xlpm.rad,$FO123+1,_xlpm.typ,INDEX($E$20:$E$68,_xlpm.rad),_xlpm.kod,INDEX(V$19:V$68,_xlpm.rad),IFERROR(IF(AND(_xlpm.typ="H",_xlpm.kod&lt;&gt;""),UPPER(_xlpm.kod),GD$18),GD$18))</f>
        <v>13</v>
      </c>
      <c r="GE123" s="88" cm="1">
        <f t="array" ref="GE123">_xlfn.LET(_xlpm.rad,$FO123+1,_xlpm.typ,INDEX($E$20:$E$68,_xlpm.rad),_xlpm.kod,INDEX(W$19:W$68,_xlpm.rad),IFERROR(IF(AND(_xlpm.typ="H",_xlpm.kod&lt;&gt;""),UPPER(_xlpm.kod),GE$18),GE$18))</f>
        <v>14</v>
      </c>
      <c r="GF123" s="88" cm="1">
        <f t="array" ref="GF123">_xlfn.LET(_xlpm.rad,$FO123+1,_xlpm.typ,INDEX($E$20:$E$68,_xlpm.rad),_xlpm.kod,INDEX(X$19:X$68,_xlpm.rad),IFERROR(IF(AND(_xlpm.typ="H",_xlpm.kod&lt;&gt;""),UPPER(_xlpm.kod),GF$18),GF$18))</f>
        <v>15</v>
      </c>
      <c r="GG123" s="88" cm="1">
        <f t="array" ref="GG123">_xlfn.LET(_xlpm.rad,$FO123+1,_xlpm.typ,INDEX($E$20:$E$68,_xlpm.rad),_xlpm.kod,INDEX(Y$19:Y$68,_xlpm.rad),IFERROR(IF(AND(_xlpm.typ="H",_xlpm.kod&lt;&gt;""),UPPER(_xlpm.kod),GG$18),GG$18))</f>
        <v>16</v>
      </c>
      <c r="GH123" s="88" cm="1">
        <f t="array" ref="GH123">_xlfn.LET(_xlpm.rad,$FO123+1,_xlpm.typ,INDEX($E$20:$E$68,_xlpm.rad),_xlpm.kod,INDEX(Z$19:Z$68,_xlpm.rad),IFERROR(IF(AND(_xlpm.typ="H",_xlpm.kod&lt;&gt;""),UPPER(_xlpm.kod),GH$18),GH$18))</f>
        <v>17</v>
      </c>
      <c r="GI123" s="88" cm="1">
        <f t="array" ref="GI123">_xlfn.LET(_xlpm.rad,$FO123+1,_xlpm.typ,INDEX($E$20:$E$68,_xlpm.rad),_xlpm.kod,INDEX(AA$19:AA$68,_xlpm.rad),IFERROR(IF(AND(_xlpm.typ="H",_xlpm.kod&lt;&gt;""),UPPER(_xlpm.kod),GI$18),GI$18))</f>
        <v>18</v>
      </c>
      <c r="GJ123" s="88" cm="1">
        <f t="array" ref="GJ123">_xlfn.LET(_xlpm.rad,$FO123+1,_xlpm.typ,INDEX($E$20:$E$68,_xlpm.rad),_xlpm.kod,INDEX(AB$19:AB$68,_xlpm.rad),IFERROR(IF(AND(_xlpm.typ="H",_xlpm.kod&lt;&gt;""),UPPER(_xlpm.kod),GJ$18),GJ$18))</f>
        <v>19</v>
      </c>
      <c r="GK123" s="88" cm="1">
        <f t="array" ref="GK123">_xlfn.LET(_xlpm.rad,$FO123+1,_xlpm.typ,INDEX($E$20:$E$68,_xlpm.rad),_xlpm.kod,INDEX(AC$19:AC$68,_xlpm.rad),IFERROR(IF(AND(_xlpm.typ="H",_xlpm.kod&lt;&gt;""),UPPER(_xlpm.kod),GK$18),GK$18))</f>
        <v>20</v>
      </c>
      <c r="GL123" s="88" cm="1">
        <f t="array" ref="GL123">_xlfn.LET(_xlpm.rad,$FO123+1,_xlpm.typ,INDEX($E$20:$E$68,_xlpm.rad),_xlpm.kod,INDEX(AD$19:AD$68,_xlpm.rad),IFERROR(IF(AND(_xlpm.typ="H",_xlpm.kod&lt;&gt;""),UPPER(_xlpm.kod),GL$18),GL$18))</f>
        <v>21</v>
      </c>
      <c r="GM123" s="88" cm="1">
        <f t="array" ref="GM123">_xlfn.LET(_xlpm.rad,$FO123+1,_xlpm.typ,INDEX($E$20:$E$68,_xlpm.rad),_xlpm.kod,INDEX(AE$19:AE$68,_xlpm.rad),IFERROR(IF(AND(_xlpm.typ="H",_xlpm.kod&lt;&gt;""),UPPER(_xlpm.kod),GM$18),GM$18))</f>
        <v>22</v>
      </c>
      <c r="GN123" s="88" cm="1">
        <f t="array" ref="GN123">_xlfn.LET(_xlpm.rad,$FO123+1,_xlpm.typ,INDEX($E$20:$E$68,_xlpm.rad),_xlpm.kod,INDEX(AF$19:AF$68,_xlpm.rad),IFERROR(IF(AND(_xlpm.typ="H",_xlpm.kod&lt;&gt;""),UPPER(_xlpm.kod),GN$18),GN$18))</f>
        <v>23</v>
      </c>
      <c r="GO123" s="88" cm="1">
        <f t="array" ref="GO123">_xlfn.LET(_xlpm.rad,$FO123+1,_xlpm.typ,INDEX($E$20:$E$68,_xlpm.rad),_xlpm.kod,INDEX(AG$19:AG$68,_xlpm.rad),IFERROR(IF(AND(_xlpm.typ="H",_xlpm.kod&lt;&gt;""),UPPER(_xlpm.kod),GO$18),GO$18))</f>
        <v>24</v>
      </c>
      <c r="GP123" s="88" cm="1">
        <f t="array" ref="GP123">_xlfn.LET(_xlpm.rad,$FO123+1,_xlpm.typ,INDEX($E$20:$E$68,_xlpm.rad),_xlpm.kod,INDEX(AH$19:AH$68,_xlpm.rad),IFERROR(IF(AND(_xlpm.typ="H",_xlpm.kod&lt;&gt;""),UPPER(_xlpm.kod),GP$18),GP$18))</f>
        <v>25</v>
      </c>
      <c r="GQ123" s="88" cm="1">
        <f t="array" ref="GQ123">_xlfn.LET(_xlpm.rad,$FO123+1,_xlpm.typ,INDEX($E$20:$E$68,_xlpm.rad),_xlpm.kod,INDEX(AI$19:AI$68,_xlpm.rad),IFERROR(IF(AND(_xlpm.typ="H",_xlpm.kod&lt;&gt;""),UPPER(_xlpm.kod),GQ$18),GQ$18))</f>
        <v>26</v>
      </c>
      <c r="GR123" s="88" cm="1">
        <f t="array" ref="GR123">_xlfn.LET(_xlpm.rad,$FO123+1,_xlpm.typ,INDEX($E$20:$E$68,_xlpm.rad),_xlpm.kod,INDEX(AJ$19:AJ$68,_xlpm.rad),IFERROR(IF(AND(_xlpm.typ="H",_xlpm.kod&lt;&gt;""),UPPER(_xlpm.kod),GR$18),GR$18))</f>
        <v>27</v>
      </c>
      <c r="GS123" s="88" cm="1">
        <f t="array" ref="GS123">_xlfn.LET(_xlpm.rad,$FO123+1,_xlpm.typ,INDEX($E$20:$E$68,_xlpm.rad),_xlpm.kod,INDEX(AK$19:AK$68,_xlpm.rad),IFERROR(IF(AND(_xlpm.typ="H",_xlpm.kod&lt;&gt;""),UPPER(_xlpm.kod),GS$18),GS$18))</f>
        <v>28</v>
      </c>
      <c r="GT123" s="88" cm="1">
        <f t="array" ref="GT123">_xlfn.LET(_xlpm.rad,$FO123+1,_xlpm.typ,INDEX($E$20:$E$68,_xlpm.rad),_xlpm.kod,INDEX(AL$19:AL$68,_xlpm.rad),IFERROR(IF(AND(_xlpm.typ="H",_xlpm.kod&lt;&gt;""),UPPER(_xlpm.kod),GT$18),GT$18))</f>
        <v>29</v>
      </c>
      <c r="GU123" s="88" cm="1">
        <f t="array" ref="GU123">_xlfn.LET(_xlpm.rad,$FO123+1,_xlpm.typ,INDEX($E$20:$E$68,_xlpm.rad),_xlpm.kod,INDEX(AM$19:AM$68,_xlpm.rad),IFERROR(IF(AND(_xlpm.typ="H",_xlpm.kod&lt;&gt;""),UPPER(_xlpm.kod),GU$18),GU$18))</f>
        <v>30</v>
      </c>
    </row>
    <row r="124" spans="7:203" x14ac:dyDescent="0.35">
      <c r="G124" s="116">
        <v>46156</v>
      </c>
      <c r="H124" s="117"/>
      <c r="I124" s="12" t="s">
        <v>2439</v>
      </c>
      <c r="J124" s="12" t="s">
        <v>2440</v>
      </c>
      <c r="EM124" s="91"/>
      <c r="EN124" s="91"/>
      <c r="FR124" s="88" cm="1">
        <f t="array" ref="FR124">_xlfn.LET(_xlpm.rad,$FO123+1,_xlpm.typ,INDEX($E$20:$E$68,_xlpm.rad),_xlpm.kod,INDEX(J$19:J$68,_xlpm.rad),_xlpm.del,INDEX($F$19:$F$68,_xlpm.rad),IFERROR(IF(AND(_xlpm.typ="H",_xlpm.kod&lt;&gt;"",_xlpm.del&lt;&gt;"Hybrid - Thrust + 2 connections"),INDEX(Hyb_Tech,MATCH(_xlpm.kod,Hyb_Code,0)),FR$72),FR$72))</f>
        <v>1</v>
      </c>
      <c r="FS124" s="88" cm="1">
        <f t="array" ref="FS124">_xlfn.LET(_xlpm.rad,$FO123+1,_xlpm.typ,INDEX($E$20:$E$68,_xlpm.rad),_xlpm.kod,INDEX(K$19:K$68,_xlpm.rad),_xlpm.del,INDEX($F$19:$F$68,_xlpm.rad),IFERROR(IF(AND(_xlpm.typ="H",_xlpm.kod&lt;&gt;"",_xlpm.del&lt;&gt;"Hybrid - Thrust + 2 connections"),INDEX(Hyb_Tech,MATCH(_xlpm.kod,Hyb_Code,0)),FS$72),FS$72))</f>
        <v>2</v>
      </c>
      <c r="FT124" s="88" cm="1">
        <f t="array" ref="FT124">_xlfn.LET(_xlpm.rad,$FO123+1,_xlpm.typ,INDEX($E$20:$E$68,_xlpm.rad),_xlpm.kod,INDEX(L$19:L$68,_xlpm.rad),_xlpm.del,INDEX($F$19:$F$68,_xlpm.rad),IFERROR(IF(AND(_xlpm.typ="H",_xlpm.kod&lt;&gt;"",_xlpm.del&lt;&gt;"Hybrid - Thrust + 2 connections"),INDEX(Hyb_Tech,MATCH(_xlpm.kod,Hyb_Code,0)),FT$72),FT$72))</f>
        <v>3</v>
      </c>
      <c r="FU124" s="88" cm="1">
        <f t="array" ref="FU124">_xlfn.LET(_xlpm.rad,$FO123+1,_xlpm.typ,INDEX($E$20:$E$68,_xlpm.rad),_xlpm.kod,INDEX(M$19:M$68,_xlpm.rad),_xlpm.del,INDEX($F$19:$F$68,_xlpm.rad),IFERROR(IF(AND(_xlpm.typ="H",_xlpm.kod&lt;&gt;"",_xlpm.del&lt;&gt;"Hybrid - Thrust + 2 connections"),INDEX(Hyb_Tech,MATCH(_xlpm.kod,Hyb_Code,0)),FU$72),FU$72))</f>
        <v>4</v>
      </c>
      <c r="FV124" s="88" cm="1">
        <f t="array" ref="FV124">_xlfn.LET(_xlpm.rad,$FO123+1,_xlpm.typ,INDEX($E$20:$E$68,_xlpm.rad),_xlpm.kod,INDEX(N$19:N$68,_xlpm.rad),_xlpm.del,INDEX($F$19:$F$68,_xlpm.rad),IFERROR(IF(AND(_xlpm.typ="H",_xlpm.kod&lt;&gt;"",_xlpm.del&lt;&gt;"Hybrid - Thrust + 2 connections"),INDEX(Hyb_Tech,MATCH(_xlpm.kod,Hyb_Code,0)),FV$72),FV$72))</f>
        <v>5</v>
      </c>
      <c r="FW124" s="88" cm="1">
        <f t="array" ref="FW124">_xlfn.LET(_xlpm.rad,$FO123+1,_xlpm.typ,INDEX($E$20:$E$68,_xlpm.rad),_xlpm.kod,INDEX(O$19:O$68,_xlpm.rad),_xlpm.del,INDEX($F$19:$F$68,_xlpm.rad),IFERROR(IF(AND(_xlpm.typ="H",_xlpm.kod&lt;&gt;"",_xlpm.del&lt;&gt;"Hybrid - Thrust + 2 connections"),INDEX(Hyb_Tech,MATCH(_xlpm.kod,Hyb_Code,0)),FW$72),FW$72))</f>
        <v>6</v>
      </c>
      <c r="FX124" s="88" cm="1">
        <f t="array" ref="FX124">_xlfn.LET(_xlpm.rad,$FO123+1,_xlpm.typ,INDEX($E$20:$E$68,_xlpm.rad),_xlpm.kod,INDEX(P$19:P$68,_xlpm.rad),_xlpm.del,INDEX($F$19:$F$68,_xlpm.rad),IFERROR(IF(AND(_xlpm.typ="H",_xlpm.kod&lt;&gt;"",_xlpm.del&lt;&gt;"Hybrid - Thrust + 2 connections"),INDEX(Hyb_Tech,MATCH(_xlpm.kod,Hyb_Code,0)),FX$72),FX$72))</f>
        <v>7</v>
      </c>
      <c r="FY124" s="88" cm="1">
        <f t="array" ref="FY124">_xlfn.LET(_xlpm.rad,$FO123+1,_xlpm.typ,INDEX($E$20:$E$68,_xlpm.rad),_xlpm.kod,INDEX(Q$19:Q$68,_xlpm.rad),_xlpm.del,INDEX($F$19:$F$68,_xlpm.rad),IFERROR(IF(AND(_xlpm.typ="H",_xlpm.kod&lt;&gt;"",_xlpm.del&lt;&gt;"Hybrid - Thrust + 2 connections"),INDEX(Hyb_Tech,MATCH(_xlpm.kod,Hyb_Code,0)),FY$72),FY$72))</f>
        <v>8</v>
      </c>
      <c r="FZ124" s="88" cm="1">
        <f t="array" ref="FZ124">_xlfn.LET(_xlpm.rad,$FO123+1,_xlpm.typ,INDEX($E$20:$E$68,_xlpm.rad),_xlpm.kod,INDEX(R$19:R$68,_xlpm.rad),_xlpm.del,INDEX($F$19:$F$68,_xlpm.rad),IFERROR(IF(AND(_xlpm.typ="H",_xlpm.kod&lt;&gt;"",_xlpm.del&lt;&gt;"Hybrid - Thrust + 2 connections"),INDEX(Hyb_Tech,MATCH(_xlpm.kod,Hyb_Code,0)),FZ$72),FZ$72))</f>
        <v>9</v>
      </c>
      <c r="GA124" s="88" cm="1">
        <f t="array" ref="GA124">_xlfn.LET(_xlpm.rad,$FO123+1,_xlpm.typ,INDEX($E$20:$E$68,_xlpm.rad),_xlpm.kod,INDEX(S$19:S$68,_xlpm.rad),_xlpm.del,INDEX($F$19:$F$68,_xlpm.rad),IFERROR(IF(AND(_xlpm.typ="H",_xlpm.kod&lt;&gt;"",_xlpm.del&lt;&gt;"Hybrid - Thrust + 2 connections"),INDEX(Hyb_Tech,MATCH(_xlpm.kod,Hyb_Code,0)),GA$72),GA$72))</f>
        <v>10</v>
      </c>
      <c r="GB124" s="88" cm="1">
        <f t="array" ref="GB124">_xlfn.LET(_xlpm.rad,$FO123+1,_xlpm.typ,INDEX($E$20:$E$68,_xlpm.rad),_xlpm.kod,INDEX(T$19:T$68,_xlpm.rad),_xlpm.del,INDEX($F$19:$F$68,_xlpm.rad),IFERROR(IF(AND(_xlpm.typ="H",_xlpm.kod&lt;&gt;"",_xlpm.del&lt;&gt;"Hybrid - Thrust + 2 connections"),INDEX(Hyb_Tech,MATCH(_xlpm.kod,Hyb_Code,0)),GB$72),GB$72))</f>
        <v>11</v>
      </c>
      <c r="GC124" s="88" cm="1">
        <f t="array" ref="GC124">_xlfn.LET(_xlpm.rad,$FO123+1,_xlpm.typ,INDEX($E$20:$E$68,_xlpm.rad),_xlpm.kod,INDEX(U$19:U$68,_xlpm.rad),_xlpm.del,INDEX($F$19:$F$68,_xlpm.rad),IFERROR(IF(AND(_xlpm.typ="H",_xlpm.kod&lt;&gt;"",_xlpm.del&lt;&gt;"Hybrid - Thrust + 2 connections"),INDEX(Hyb_Tech,MATCH(_xlpm.kod,Hyb_Code,0)),GC$72),GC$72))</f>
        <v>12</v>
      </c>
      <c r="GD124" s="88" cm="1">
        <f t="array" ref="GD124">_xlfn.LET(_xlpm.rad,$FO123+1,_xlpm.typ,INDEX($E$20:$E$68,_xlpm.rad),_xlpm.kod,INDEX(V$19:V$68,_xlpm.rad),_xlpm.del,INDEX($F$19:$F$68,_xlpm.rad),IFERROR(IF(AND(_xlpm.typ="H",_xlpm.kod&lt;&gt;"",_xlpm.del&lt;&gt;"Hybrid - Thrust + 2 connections"),INDEX(Hyb_Tech,MATCH(_xlpm.kod,Hyb_Code,0)),GD$72),GD$72))</f>
        <v>13</v>
      </c>
      <c r="GE124" s="88" cm="1">
        <f t="array" ref="GE124">_xlfn.LET(_xlpm.rad,$FO123+1,_xlpm.typ,INDEX($E$20:$E$68,_xlpm.rad),_xlpm.kod,INDEX(W$19:W$68,_xlpm.rad),_xlpm.del,INDEX($F$19:$F$68,_xlpm.rad),IFERROR(IF(AND(_xlpm.typ="H",_xlpm.kod&lt;&gt;"",_xlpm.del&lt;&gt;"Hybrid - Thrust + 2 connections"),INDEX(Hyb_Tech,MATCH(_xlpm.kod,Hyb_Code,0)),GE$72),GE$72))</f>
        <v>14</v>
      </c>
      <c r="GF124" s="88" cm="1">
        <f t="array" ref="GF124">_xlfn.LET(_xlpm.rad,$FO123+1,_xlpm.typ,INDEX($E$20:$E$68,_xlpm.rad),_xlpm.kod,INDEX(X$19:X$68,_xlpm.rad),_xlpm.del,INDEX($F$19:$F$68,_xlpm.rad),IFERROR(IF(AND(_xlpm.typ="H",_xlpm.kod&lt;&gt;"",_xlpm.del&lt;&gt;"Hybrid - Thrust + 2 connections"),INDEX(Hyb_Tech,MATCH(_xlpm.kod,Hyb_Code,0)),GF$72),GF$72))</f>
        <v>15</v>
      </c>
      <c r="GG124" s="88" cm="1">
        <f t="array" ref="GG124">_xlfn.LET(_xlpm.rad,$FO123+1,_xlpm.typ,INDEX($E$20:$E$68,_xlpm.rad),_xlpm.kod,INDEX(Y$19:Y$68,_xlpm.rad),_xlpm.del,INDEX($F$19:$F$68,_xlpm.rad),IFERROR(IF(AND(_xlpm.typ="H",_xlpm.kod&lt;&gt;"",_xlpm.del&lt;&gt;"Hybrid - Thrust + 2 connections"),INDEX(Hyb_Tech,MATCH(_xlpm.kod,Hyb_Code,0)),GG$72),GG$72))</f>
        <v>16</v>
      </c>
      <c r="GH124" s="88" cm="1">
        <f t="array" ref="GH124">_xlfn.LET(_xlpm.rad,$FO123+1,_xlpm.typ,INDEX($E$20:$E$68,_xlpm.rad),_xlpm.kod,INDEX(Z$19:Z$68,_xlpm.rad),_xlpm.del,INDEX($F$19:$F$68,_xlpm.rad),IFERROR(IF(AND(_xlpm.typ="H",_xlpm.kod&lt;&gt;"",_xlpm.del&lt;&gt;"Hybrid - Thrust + 2 connections"),INDEX(Hyb_Tech,MATCH(_xlpm.kod,Hyb_Code,0)),GH$72),GH$72))</f>
        <v>17</v>
      </c>
      <c r="GI124" s="88" cm="1">
        <f t="array" ref="GI124">_xlfn.LET(_xlpm.rad,$FO123+1,_xlpm.typ,INDEX($E$20:$E$68,_xlpm.rad),_xlpm.kod,INDEX(AA$19:AA$68,_xlpm.rad),_xlpm.del,INDEX($F$19:$F$68,_xlpm.rad),IFERROR(IF(AND(_xlpm.typ="H",_xlpm.kod&lt;&gt;"",_xlpm.del&lt;&gt;"Hybrid - Thrust + 2 connections"),INDEX(Hyb_Tech,MATCH(_xlpm.kod,Hyb_Code,0)),GI$72),GI$72))</f>
        <v>18</v>
      </c>
      <c r="GJ124" s="88" cm="1">
        <f t="array" ref="GJ124">_xlfn.LET(_xlpm.rad,$FO123+1,_xlpm.typ,INDEX($E$20:$E$68,_xlpm.rad),_xlpm.kod,INDEX(AB$19:AB$68,_xlpm.rad),_xlpm.del,INDEX($F$19:$F$68,_xlpm.rad),IFERROR(IF(AND(_xlpm.typ="H",_xlpm.kod&lt;&gt;"",_xlpm.del&lt;&gt;"Hybrid - Thrust + 2 connections"),INDEX(Hyb_Tech,MATCH(_xlpm.kod,Hyb_Code,0)),GJ$72),GJ$72))</f>
        <v>19</v>
      </c>
      <c r="GK124" s="88" cm="1">
        <f t="array" ref="GK124">_xlfn.LET(_xlpm.rad,$FO123+1,_xlpm.typ,INDEX($E$20:$E$68,_xlpm.rad),_xlpm.kod,INDEX(AC$19:AC$68,_xlpm.rad),_xlpm.del,INDEX($F$19:$F$68,_xlpm.rad),IFERROR(IF(AND(_xlpm.typ="H",_xlpm.kod&lt;&gt;"",_xlpm.del&lt;&gt;"Hybrid - Thrust + 2 connections"),INDEX(Hyb_Tech,MATCH(_xlpm.kod,Hyb_Code,0)),GK$72),GK$72))</f>
        <v>20</v>
      </c>
      <c r="GL124" s="88" cm="1">
        <f t="array" ref="GL124">_xlfn.LET(_xlpm.rad,$FO123+1,_xlpm.typ,INDEX($E$20:$E$68,_xlpm.rad),_xlpm.kod,INDEX(AD$19:AD$68,_xlpm.rad),_xlpm.del,INDEX($F$19:$F$68,_xlpm.rad),IFERROR(IF(AND(_xlpm.typ="H",_xlpm.kod&lt;&gt;"",_xlpm.del&lt;&gt;"Hybrid - Thrust + 2 connections"),INDEX(Hyb_Tech,MATCH(_xlpm.kod,Hyb_Code,0)),GL$72),GL$72))</f>
        <v>21</v>
      </c>
      <c r="GM124" s="88" cm="1">
        <f t="array" ref="GM124">_xlfn.LET(_xlpm.rad,$FO123+1,_xlpm.typ,INDEX($E$20:$E$68,_xlpm.rad),_xlpm.kod,INDEX(AE$19:AE$68,_xlpm.rad),_xlpm.del,INDEX($F$19:$F$68,_xlpm.rad),IFERROR(IF(AND(_xlpm.typ="H",_xlpm.kod&lt;&gt;"",_xlpm.del&lt;&gt;"Hybrid - Thrust + 2 connections"),INDEX(Hyb_Tech,MATCH(_xlpm.kod,Hyb_Code,0)),GM$72),GM$72))</f>
        <v>22</v>
      </c>
      <c r="GN124" s="88" cm="1">
        <f t="array" ref="GN124">_xlfn.LET(_xlpm.rad,$FO123+1,_xlpm.typ,INDEX($E$20:$E$68,_xlpm.rad),_xlpm.kod,INDEX(AF$19:AF$68,_xlpm.rad),_xlpm.del,INDEX($F$19:$F$68,_xlpm.rad),IFERROR(IF(AND(_xlpm.typ="H",_xlpm.kod&lt;&gt;"",_xlpm.del&lt;&gt;"Hybrid - Thrust + 2 connections"),INDEX(Hyb_Tech,MATCH(_xlpm.kod,Hyb_Code,0)),GN$72),GN$72))</f>
        <v>23</v>
      </c>
      <c r="GO124" s="88" cm="1">
        <f t="array" ref="GO124">_xlfn.LET(_xlpm.rad,$FO123+1,_xlpm.typ,INDEX($E$20:$E$68,_xlpm.rad),_xlpm.kod,INDEX(AG$19:AG$68,_xlpm.rad),_xlpm.del,INDEX($F$19:$F$68,_xlpm.rad),IFERROR(IF(AND(_xlpm.typ="H",_xlpm.kod&lt;&gt;"",_xlpm.del&lt;&gt;"Hybrid - Thrust + 2 connections"),INDEX(Hyb_Tech,MATCH(_xlpm.kod,Hyb_Code,0)),GO$72),GO$72))</f>
        <v>24</v>
      </c>
      <c r="GP124" s="88" cm="1">
        <f t="array" ref="GP124">_xlfn.LET(_xlpm.rad,$FO123+1,_xlpm.typ,INDEX($E$20:$E$68,_xlpm.rad),_xlpm.kod,INDEX(AH$19:AH$68,_xlpm.rad),_xlpm.del,INDEX($F$19:$F$68,_xlpm.rad),IFERROR(IF(AND(_xlpm.typ="H",_xlpm.kod&lt;&gt;"",_xlpm.del&lt;&gt;"Hybrid - Thrust + 2 connections"),INDEX(Hyb_Tech,MATCH(_xlpm.kod,Hyb_Code,0)),GP$72),GP$72))</f>
        <v>25</v>
      </c>
      <c r="GQ124" s="88" cm="1">
        <f t="array" ref="GQ124">_xlfn.LET(_xlpm.rad,$FO123+1,_xlpm.typ,INDEX($E$20:$E$68,_xlpm.rad),_xlpm.kod,INDEX(AI$19:AI$68,_xlpm.rad),_xlpm.del,INDEX($F$19:$F$68,_xlpm.rad),IFERROR(IF(AND(_xlpm.typ="H",_xlpm.kod&lt;&gt;"",_xlpm.del&lt;&gt;"Hybrid - Thrust + 2 connections"),INDEX(Hyb_Tech,MATCH(_xlpm.kod,Hyb_Code,0)),GQ$72),GQ$72))</f>
        <v>26</v>
      </c>
      <c r="GR124" s="88" cm="1">
        <f t="array" ref="GR124">_xlfn.LET(_xlpm.rad,$FO123+1,_xlpm.typ,INDEX($E$20:$E$68,_xlpm.rad),_xlpm.kod,INDEX(AJ$19:AJ$68,_xlpm.rad),_xlpm.del,INDEX($F$19:$F$68,_xlpm.rad),IFERROR(IF(AND(_xlpm.typ="H",_xlpm.kod&lt;&gt;"",_xlpm.del&lt;&gt;"Hybrid - Thrust + 2 connections"),INDEX(Hyb_Tech,MATCH(_xlpm.kod,Hyb_Code,0)),GR$72),GR$72))</f>
        <v>27</v>
      </c>
      <c r="GS124" s="88" cm="1">
        <f t="array" ref="GS124">_xlfn.LET(_xlpm.rad,$FO123+1,_xlpm.typ,INDEX($E$20:$E$68,_xlpm.rad),_xlpm.kod,INDEX(AK$19:AK$68,_xlpm.rad),_xlpm.del,INDEX($F$19:$F$68,_xlpm.rad),IFERROR(IF(AND(_xlpm.typ="H",_xlpm.kod&lt;&gt;"",_xlpm.del&lt;&gt;"Hybrid - Thrust + 2 connections"),INDEX(Hyb_Tech,MATCH(_xlpm.kod,Hyb_Code,0)),GS$72),GS$72))</f>
        <v>28</v>
      </c>
      <c r="GT124" s="88" cm="1">
        <f t="array" ref="GT124">_xlfn.LET(_xlpm.rad,$FO123+1,_xlpm.typ,INDEX($E$20:$E$68,_xlpm.rad),_xlpm.kod,INDEX(AL$19:AL$68,_xlpm.rad),_xlpm.del,INDEX($F$19:$F$68,_xlpm.rad),IFERROR(IF(AND(_xlpm.typ="H",_xlpm.kod&lt;&gt;"",_xlpm.del&lt;&gt;"Hybrid - Thrust + 2 connections"),INDEX(Hyb_Tech,MATCH(_xlpm.kod,Hyb_Code,0)),GT$72),GT$72))</f>
        <v>29</v>
      </c>
      <c r="GU124" s="88" cm="1">
        <f t="array" ref="GU124">_xlfn.LET(_xlpm.rad,$FO123+1,_xlpm.typ,INDEX($E$20:$E$68,_xlpm.rad),_xlpm.kod,INDEX(AM$19:AM$68,_xlpm.rad),_xlpm.del,INDEX($F$19:$F$68,_xlpm.rad),IFERROR(IF(AND(_xlpm.typ="H",_xlpm.kod&lt;&gt;"",_xlpm.del&lt;&gt;"Hybrid - Thrust + 2 connections"),INDEX(Hyb_Tech,MATCH(_xlpm.kod,Hyb_Code,0)),GU$72),GU$72))</f>
        <v>30</v>
      </c>
    </row>
    <row r="125" spans="7:203" x14ac:dyDescent="0.35">
      <c r="G125" s="116">
        <v>46298</v>
      </c>
      <c r="H125" s="117"/>
      <c r="I125" s="12" t="s">
        <v>2451</v>
      </c>
      <c r="J125" s="12" t="s">
        <v>2514</v>
      </c>
      <c r="EO125" s="88"/>
      <c r="EP125" s="88"/>
      <c r="EQ125" s="88"/>
      <c r="ER125" s="88"/>
      <c r="ES125" s="88"/>
      <c r="ET125" s="88"/>
      <c r="EU125" s="88"/>
      <c r="EV125" s="88"/>
      <c r="EW125" s="88"/>
      <c r="EX125" s="88"/>
      <c r="EY125" s="88"/>
      <c r="EZ125" s="88"/>
      <c r="FA125" s="88"/>
      <c r="FB125" s="88"/>
      <c r="FC125" s="88"/>
      <c r="FD125" s="88"/>
      <c r="FE125" s="88"/>
      <c r="FF125" s="88"/>
      <c r="FG125" s="88"/>
      <c r="FH125" s="88"/>
      <c r="FI125" s="88"/>
      <c r="FJ125" s="88"/>
      <c r="FK125" s="88"/>
      <c r="FL125" s="88"/>
      <c r="FM125" s="88"/>
      <c r="FN125" s="88"/>
      <c r="FP125" s="91" t="str" cm="1">
        <f t="array" ref="FP125">IFERROR(IF($T$5="",IF(COUNTIF(FR125:GU125,1)&gt;$FP$18,INDEX($FR$73:$GU$170,$FO123*5/2+1,MATCH(1,FR125:GU125,0)),""),IF(SUM(FR125:GU125)&gt;2,INDEX($FR$73:$GU$170,$FO123*5/2+1,MATCH(1,FR125:GU125,0)),"")),"")</f>
        <v/>
      </c>
      <c r="FQ125" s="88" t="str" cm="1">
        <f t="array" ref="FQ125">IFERROR(IF(LEFT(FP125,1)="C",IF(RIGHT(FP125,1)="+",LEFT(FP125,LEN(FP125)-1),CONCATENATE(FP125,"+")),IF(SUM($FR125:$GU125)&gt;$FP$18,INDEX($FR$73:$GU$170,$FO123*5/2+1,MATCH(0.5,FR125:GU125,0)),"")),"")</f>
        <v/>
      </c>
      <c r="FR125" s="88" t="str">
        <f t="shared" ref="FR125:GU125" si="3386">IF(AND($BV$6="D",LEFT(FR123,1)="C"),IF(COUNTIF($FR124:$GU124,FR124)&gt;$FP$18,INDEX(Hyb_Tech_Value,MATCH(FR123,Hyb_Code,0)),""),IF(COUNTIF($FR124:$GU124,FR124)&gt;$FP$18,INDEX(Hyb_Tech_Value,MATCH(FR123,Hyb_Code,0)),""))</f>
        <v/>
      </c>
      <c r="FS125" s="88" t="str">
        <f t="shared" si="3386"/>
        <v/>
      </c>
      <c r="FT125" s="88" t="str">
        <f t="shared" si="3386"/>
        <v/>
      </c>
      <c r="FU125" s="88" t="str">
        <f t="shared" si="3386"/>
        <v/>
      </c>
      <c r="FV125" s="88" t="str">
        <f t="shared" si="3386"/>
        <v/>
      </c>
      <c r="FW125" s="88" t="str">
        <f t="shared" si="3386"/>
        <v/>
      </c>
      <c r="FX125" s="88" t="str">
        <f t="shared" si="3386"/>
        <v/>
      </c>
      <c r="FY125" s="88" t="str">
        <f t="shared" si="3386"/>
        <v/>
      </c>
      <c r="FZ125" s="88" t="str">
        <f t="shared" si="3386"/>
        <v/>
      </c>
      <c r="GA125" s="88" t="str">
        <f t="shared" si="3386"/>
        <v/>
      </c>
      <c r="GB125" s="88" t="str">
        <f t="shared" si="3386"/>
        <v/>
      </c>
      <c r="GC125" s="88" t="str">
        <f t="shared" si="3386"/>
        <v/>
      </c>
      <c r="GD125" s="88" t="str">
        <f t="shared" si="3386"/>
        <v/>
      </c>
      <c r="GE125" s="88" t="str">
        <f t="shared" si="3386"/>
        <v/>
      </c>
      <c r="GF125" s="88" t="str">
        <f t="shared" si="3386"/>
        <v/>
      </c>
      <c r="GG125" s="88" t="str">
        <f t="shared" si="3386"/>
        <v/>
      </c>
      <c r="GH125" s="88" t="str">
        <f t="shared" si="3386"/>
        <v/>
      </c>
      <c r="GI125" s="88" t="str">
        <f t="shared" si="3386"/>
        <v/>
      </c>
      <c r="GJ125" s="88" t="str">
        <f t="shared" si="3386"/>
        <v/>
      </c>
      <c r="GK125" s="88" t="str">
        <f t="shared" si="3386"/>
        <v/>
      </c>
      <c r="GL125" s="88" t="str">
        <f t="shared" si="3386"/>
        <v/>
      </c>
      <c r="GM125" s="88" t="str">
        <f t="shared" si="3386"/>
        <v/>
      </c>
      <c r="GN125" s="88" t="str">
        <f t="shared" si="3386"/>
        <v/>
      </c>
      <c r="GO125" s="88" t="str">
        <f t="shared" si="3386"/>
        <v/>
      </c>
      <c r="GP125" s="88" t="str">
        <f t="shared" si="3386"/>
        <v/>
      </c>
      <c r="GQ125" s="88" t="str">
        <f t="shared" si="3386"/>
        <v/>
      </c>
      <c r="GR125" s="88" t="str">
        <f t="shared" si="3386"/>
        <v/>
      </c>
      <c r="GS125" s="88" t="str">
        <f t="shared" si="3386"/>
        <v/>
      </c>
      <c r="GT125" s="88" t="str">
        <f t="shared" si="3386"/>
        <v/>
      </c>
      <c r="GU125" s="88" t="str">
        <f t="shared" si="3386"/>
        <v/>
      </c>
    </row>
    <row r="126" spans="7:203" x14ac:dyDescent="0.35">
      <c r="G126" s="116">
        <v>46317</v>
      </c>
      <c r="H126" s="117"/>
      <c r="I126" s="12" t="s">
        <v>2521</v>
      </c>
      <c r="J126" s="12" t="s">
        <v>2523</v>
      </c>
      <c r="EM126" s="91"/>
      <c r="EN126" s="91"/>
      <c r="FQ126" s="88"/>
      <c r="FR126" s="88" t="str">
        <f t="shared" ref="FR126:GU126" si="3387">IFERROR(IF(LEFT(FR123,FIND("*",FR123)-1)=LEFT($FQ$73,FIND("*",$FQ$73)-1),0.5,""),"")</f>
        <v/>
      </c>
      <c r="FS126" s="88" t="str">
        <f t="shared" si="3387"/>
        <v/>
      </c>
      <c r="FT126" s="88" t="str">
        <f t="shared" si="3387"/>
        <v/>
      </c>
      <c r="FU126" s="88" t="str">
        <f t="shared" si="3387"/>
        <v/>
      </c>
      <c r="FV126" s="88" t="str">
        <f t="shared" si="3387"/>
        <v/>
      </c>
      <c r="FW126" s="88" t="str">
        <f t="shared" si="3387"/>
        <v/>
      </c>
      <c r="FX126" s="88" t="str">
        <f t="shared" si="3387"/>
        <v/>
      </c>
      <c r="FY126" s="88" t="str">
        <f t="shared" si="3387"/>
        <v/>
      </c>
      <c r="FZ126" s="88" t="str">
        <f t="shared" si="3387"/>
        <v/>
      </c>
      <c r="GA126" s="88" t="str">
        <f t="shared" si="3387"/>
        <v/>
      </c>
      <c r="GB126" s="88" t="str">
        <f t="shared" si="3387"/>
        <v/>
      </c>
      <c r="GC126" s="88" t="str">
        <f t="shared" si="3387"/>
        <v/>
      </c>
      <c r="GD126" s="88" t="str">
        <f t="shared" si="3387"/>
        <v/>
      </c>
      <c r="GE126" s="88" t="str">
        <f t="shared" si="3387"/>
        <v/>
      </c>
      <c r="GF126" s="88" t="str">
        <f t="shared" si="3387"/>
        <v/>
      </c>
      <c r="GG126" s="88" t="str">
        <f t="shared" si="3387"/>
        <v/>
      </c>
      <c r="GH126" s="88" t="str">
        <f t="shared" si="3387"/>
        <v/>
      </c>
      <c r="GI126" s="88" t="str">
        <f t="shared" si="3387"/>
        <v/>
      </c>
      <c r="GJ126" s="88" t="str">
        <f t="shared" si="3387"/>
        <v/>
      </c>
      <c r="GK126" s="88" t="str">
        <f t="shared" si="3387"/>
        <v/>
      </c>
      <c r="GL126" s="88" t="str">
        <f t="shared" si="3387"/>
        <v/>
      </c>
      <c r="GM126" s="88" t="str">
        <f t="shared" si="3387"/>
        <v/>
      </c>
      <c r="GN126" s="88" t="str">
        <f t="shared" si="3387"/>
        <v/>
      </c>
      <c r="GO126" s="88" t="str">
        <f t="shared" si="3387"/>
        <v/>
      </c>
      <c r="GP126" s="88" t="str">
        <f t="shared" si="3387"/>
        <v/>
      </c>
      <c r="GQ126" s="88" t="str">
        <f t="shared" si="3387"/>
        <v/>
      </c>
      <c r="GR126" s="88" t="str">
        <f t="shared" si="3387"/>
        <v/>
      </c>
      <c r="GS126" s="88" t="str">
        <f t="shared" si="3387"/>
        <v/>
      </c>
      <c r="GT126" s="88" t="str">
        <f t="shared" si="3387"/>
        <v/>
      </c>
      <c r="GU126" s="88" t="str">
        <f t="shared" si="3387"/>
        <v/>
      </c>
    </row>
    <row r="127" spans="7:203" x14ac:dyDescent="0.35">
      <c r="G127" s="116"/>
      <c r="H127" s="117"/>
      <c r="EO127" s="88"/>
      <c r="EP127" s="88"/>
      <c r="EQ127" s="88"/>
      <c r="ER127" s="88"/>
      <c r="ES127" s="88"/>
      <c r="ET127" s="88"/>
      <c r="EU127" s="88"/>
      <c r="EV127" s="88"/>
      <c r="EW127" s="88"/>
      <c r="EX127" s="88"/>
      <c r="EY127" s="88"/>
      <c r="EZ127" s="88"/>
      <c r="FA127" s="88"/>
      <c r="FB127" s="88"/>
      <c r="FC127" s="88"/>
      <c r="FD127" s="88"/>
      <c r="FE127" s="88"/>
      <c r="FF127" s="88"/>
      <c r="FG127" s="88"/>
      <c r="FH127" s="88"/>
      <c r="FI127" s="88"/>
      <c r="FJ127" s="88"/>
      <c r="FK127" s="88"/>
      <c r="FL127" s="88"/>
      <c r="FM127" s="88"/>
      <c r="FN127" s="88"/>
      <c r="FQ127" s="88"/>
      <c r="FR127" s="88"/>
      <c r="FS127" s="88"/>
      <c r="FT127" s="88"/>
      <c r="FU127" s="88"/>
      <c r="FV127" s="88"/>
      <c r="FW127" s="88"/>
      <c r="FX127" s="88"/>
      <c r="FY127" s="88"/>
      <c r="FZ127" s="88"/>
      <c r="GA127" s="88"/>
      <c r="GB127" s="88"/>
      <c r="GC127" s="88"/>
      <c r="GD127" s="88"/>
      <c r="GE127" s="88"/>
      <c r="GF127" s="88"/>
      <c r="GG127" s="88"/>
      <c r="GH127" s="88"/>
      <c r="GI127" s="88"/>
      <c r="GJ127" s="88"/>
      <c r="GK127" s="88"/>
      <c r="GL127" s="88"/>
      <c r="GM127" s="88"/>
      <c r="GN127" s="88"/>
      <c r="GO127" s="88"/>
      <c r="GP127" s="88"/>
      <c r="GQ127" s="88"/>
      <c r="GR127" s="88"/>
      <c r="GS127" s="88"/>
      <c r="GT127" s="88"/>
      <c r="GU127" s="88"/>
    </row>
    <row r="128" spans="7:203" x14ac:dyDescent="0.35">
      <c r="G128" s="116"/>
      <c r="H128" s="117"/>
      <c r="EM128" s="91"/>
      <c r="EN128" s="91"/>
      <c r="FO128" s="91">
        <v>22</v>
      </c>
      <c r="FP128" s="88" t="str">
        <f t="shared" ref="FP128" si="3388">IF(SUM(FR131:GU131)&gt;2,FQ128,"")</f>
        <v/>
      </c>
      <c r="FQ128" s="88" t="str" cm="1">
        <f t="array" ref="FQ128">IF(SUM(FR130:GU130)&gt;0,_xlfn.LET(_xlpm.area,FR128:GU128,_xlpm.texts,_xlfn.UNIQUE(_xlfn._xlws.FILTER(_xlpm.area,_xlpm.area&lt;&gt;"")),_xlpm.number,COUNTIF(_xlpm.area,_xlpm.texts),INDEX(_xlpm.texts,MATCH(MAX(_xlpm.number),_xlpm.number,0))),"")</f>
        <v/>
      </c>
      <c r="FR128" s="88" cm="1">
        <f t="array" ref="FR128">_xlfn.LET(_xlpm.rad,$FO128+1,_xlpm.typ,INDEX($E$20:$E$68,_xlpm.rad),_xlpm.kod,INDEX(J$19:J$68,_xlpm.rad),IFERROR(IF(AND(_xlpm.typ="H",_xlpm.kod&lt;&gt;""),UPPER(_xlpm.kod),FR$18),FR$18))</f>
        <v>1</v>
      </c>
      <c r="FS128" s="88" cm="1">
        <f t="array" ref="FS128">_xlfn.LET(_xlpm.rad,$FO128+1,_xlpm.typ,INDEX($E$20:$E$68,_xlpm.rad),_xlpm.kod,INDEX(K$19:K$68,_xlpm.rad),IFERROR(IF(AND(_xlpm.typ="H",_xlpm.kod&lt;&gt;""),UPPER(_xlpm.kod),FS$18),FS$18))</f>
        <v>2</v>
      </c>
      <c r="FT128" s="88" cm="1">
        <f t="array" ref="FT128">_xlfn.LET(_xlpm.rad,$FO128+1,_xlpm.typ,INDEX($E$20:$E$68,_xlpm.rad),_xlpm.kod,INDEX(L$19:L$68,_xlpm.rad),IFERROR(IF(AND(_xlpm.typ="H",_xlpm.kod&lt;&gt;""),UPPER(_xlpm.kod),FT$18),FT$18))</f>
        <v>3</v>
      </c>
      <c r="FU128" s="88" cm="1">
        <f t="array" ref="FU128">_xlfn.LET(_xlpm.rad,$FO128+1,_xlpm.typ,INDEX($E$20:$E$68,_xlpm.rad),_xlpm.kod,INDEX(M$19:M$68,_xlpm.rad),IFERROR(IF(AND(_xlpm.typ="H",_xlpm.kod&lt;&gt;""),UPPER(_xlpm.kod),FU$18),FU$18))</f>
        <v>4</v>
      </c>
      <c r="FV128" s="88" cm="1">
        <f t="array" ref="FV128">_xlfn.LET(_xlpm.rad,$FO128+1,_xlpm.typ,INDEX($E$20:$E$68,_xlpm.rad),_xlpm.kod,INDEX(N$19:N$68,_xlpm.rad),IFERROR(IF(AND(_xlpm.typ="H",_xlpm.kod&lt;&gt;""),UPPER(_xlpm.kod),FV$18),FV$18))</f>
        <v>5</v>
      </c>
      <c r="FW128" s="88" cm="1">
        <f t="array" ref="FW128">_xlfn.LET(_xlpm.rad,$FO128+1,_xlpm.typ,INDEX($E$20:$E$68,_xlpm.rad),_xlpm.kod,INDEX(O$19:O$68,_xlpm.rad),IFERROR(IF(AND(_xlpm.typ="H",_xlpm.kod&lt;&gt;""),UPPER(_xlpm.kod),FW$18),FW$18))</f>
        <v>6</v>
      </c>
      <c r="FX128" s="88" cm="1">
        <f t="array" ref="FX128">_xlfn.LET(_xlpm.rad,$FO128+1,_xlpm.typ,INDEX($E$20:$E$68,_xlpm.rad),_xlpm.kod,INDEX(P$19:P$68,_xlpm.rad),IFERROR(IF(AND(_xlpm.typ="H",_xlpm.kod&lt;&gt;""),UPPER(_xlpm.kod),FX$18),FX$18))</f>
        <v>7</v>
      </c>
      <c r="FY128" s="88" cm="1">
        <f t="array" ref="FY128">_xlfn.LET(_xlpm.rad,$FO128+1,_xlpm.typ,INDEX($E$20:$E$68,_xlpm.rad),_xlpm.kod,INDEX(Q$19:Q$68,_xlpm.rad),IFERROR(IF(AND(_xlpm.typ="H",_xlpm.kod&lt;&gt;""),UPPER(_xlpm.kod),FY$18),FY$18))</f>
        <v>8</v>
      </c>
      <c r="FZ128" s="88" cm="1">
        <f t="array" ref="FZ128">_xlfn.LET(_xlpm.rad,$FO128+1,_xlpm.typ,INDEX($E$20:$E$68,_xlpm.rad),_xlpm.kod,INDEX(R$19:R$68,_xlpm.rad),IFERROR(IF(AND(_xlpm.typ="H",_xlpm.kod&lt;&gt;""),UPPER(_xlpm.kod),FZ$18),FZ$18))</f>
        <v>9</v>
      </c>
      <c r="GA128" s="88" cm="1">
        <f t="array" ref="GA128">_xlfn.LET(_xlpm.rad,$FO128+1,_xlpm.typ,INDEX($E$20:$E$68,_xlpm.rad),_xlpm.kod,INDEX(S$19:S$68,_xlpm.rad),IFERROR(IF(AND(_xlpm.typ="H",_xlpm.kod&lt;&gt;""),UPPER(_xlpm.kod),GA$18),GA$18))</f>
        <v>10</v>
      </c>
      <c r="GB128" s="88" cm="1">
        <f t="array" ref="GB128">_xlfn.LET(_xlpm.rad,$FO128+1,_xlpm.typ,INDEX($E$20:$E$68,_xlpm.rad),_xlpm.kod,INDEX(T$19:T$68,_xlpm.rad),IFERROR(IF(AND(_xlpm.typ="H",_xlpm.kod&lt;&gt;""),UPPER(_xlpm.kod),GB$18),GB$18))</f>
        <v>11</v>
      </c>
      <c r="GC128" s="88" cm="1">
        <f t="array" ref="GC128">_xlfn.LET(_xlpm.rad,$FO128+1,_xlpm.typ,INDEX($E$20:$E$68,_xlpm.rad),_xlpm.kod,INDEX(U$19:U$68,_xlpm.rad),IFERROR(IF(AND(_xlpm.typ="H",_xlpm.kod&lt;&gt;""),UPPER(_xlpm.kod),GC$18),GC$18))</f>
        <v>12</v>
      </c>
      <c r="GD128" s="88" cm="1">
        <f t="array" ref="GD128">_xlfn.LET(_xlpm.rad,$FO128+1,_xlpm.typ,INDEX($E$20:$E$68,_xlpm.rad),_xlpm.kod,INDEX(V$19:V$68,_xlpm.rad),IFERROR(IF(AND(_xlpm.typ="H",_xlpm.kod&lt;&gt;""),UPPER(_xlpm.kod),GD$18),GD$18))</f>
        <v>13</v>
      </c>
      <c r="GE128" s="88" cm="1">
        <f t="array" ref="GE128">_xlfn.LET(_xlpm.rad,$FO128+1,_xlpm.typ,INDEX($E$20:$E$68,_xlpm.rad),_xlpm.kod,INDEX(W$19:W$68,_xlpm.rad),IFERROR(IF(AND(_xlpm.typ="H",_xlpm.kod&lt;&gt;""),UPPER(_xlpm.kod),GE$18),GE$18))</f>
        <v>14</v>
      </c>
      <c r="GF128" s="88" cm="1">
        <f t="array" ref="GF128">_xlfn.LET(_xlpm.rad,$FO128+1,_xlpm.typ,INDEX($E$20:$E$68,_xlpm.rad),_xlpm.kod,INDEX(X$19:X$68,_xlpm.rad),IFERROR(IF(AND(_xlpm.typ="H",_xlpm.kod&lt;&gt;""),UPPER(_xlpm.kod),GF$18),GF$18))</f>
        <v>15</v>
      </c>
      <c r="GG128" s="88" cm="1">
        <f t="array" ref="GG128">_xlfn.LET(_xlpm.rad,$FO128+1,_xlpm.typ,INDEX($E$20:$E$68,_xlpm.rad),_xlpm.kod,INDEX(Y$19:Y$68,_xlpm.rad),IFERROR(IF(AND(_xlpm.typ="H",_xlpm.kod&lt;&gt;""),UPPER(_xlpm.kod),GG$18),GG$18))</f>
        <v>16</v>
      </c>
      <c r="GH128" s="88" cm="1">
        <f t="array" ref="GH128">_xlfn.LET(_xlpm.rad,$FO128+1,_xlpm.typ,INDEX($E$20:$E$68,_xlpm.rad),_xlpm.kod,INDEX(Z$19:Z$68,_xlpm.rad),IFERROR(IF(AND(_xlpm.typ="H",_xlpm.kod&lt;&gt;""),UPPER(_xlpm.kod),GH$18),GH$18))</f>
        <v>17</v>
      </c>
      <c r="GI128" s="88" cm="1">
        <f t="array" ref="GI128">_xlfn.LET(_xlpm.rad,$FO128+1,_xlpm.typ,INDEX($E$20:$E$68,_xlpm.rad),_xlpm.kod,INDEX(AA$19:AA$68,_xlpm.rad),IFERROR(IF(AND(_xlpm.typ="H",_xlpm.kod&lt;&gt;""),UPPER(_xlpm.kod),GI$18),GI$18))</f>
        <v>18</v>
      </c>
      <c r="GJ128" s="88" cm="1">
        <f t="array" ref="GJ128">_xlfn.LET(_xlpm.rad,$FO128+1,_xlpm.typ,INDEX($E$20:$E$68,_xlpm.rad),_xlpm.kod,INDEX(AB$19:AB$68,_xlpm.rad),IFERROR(IF(AND(_xlpm.typ="H",_xlpm.kod&lt;&gt;""),UPPER(_xlpm.kod),GJ$18),GJ$18))</f>
        <v>19</v>
      </c>
      <c r="GK128" s="88" cm="1">
        <f t="array" ref="GK128">_xlfn.LET(_xlpm.rad,$FO128+1,_xlpm.typ,INDEX($E$20:$E$68,_xlpm.rad),_xlpm.kod,INDEX(AC$19:AC$68,_xlpm.rad),IFERROR(IF(AND(_xlpm.typ="H",_xlpm.kod&lt;&gt;""),UPPER(_xlpm.kod),GK$18),GK$18))</f>
        <v>20</v>
      </c>
      <c r="GL128" s="88" cm="1">
        <f t="array" ref="GL128">_xlfn.LET(_xlpm.rad,$FO128+1,_xlpm.typ,INDEX($E$20:$E$68,_xlpm.rad),_xlpm.kod,INDEX(AD$19:AD$68,_xlpm.rad),IFERROR(IF(AND(_xlpm.typ="H",_xlpm.kod&lt;&gt;""),UPPER(_xlpm.kod),GL$18),GL$18))</f>
        <v>21</v>
      </c>
      <c r="GM128" s="88" cm="1">
        <f t="array" ref="GM128">_xlfn.LET(_xlpm.rad,$FO128+1,_xlpm.typ,INDEX($E$20:$E$68,_xlpm.rad),_xlpm.kod,INDEX(AE$19:AE$68,_xlpm.rad),IFERROR(IF(AND(_xlpm.typ="H",_xlpm.kod&lt;&gt;""),UPPER(_xlpm.kod),GM$18),GM$18))</f>
        <v>22</v>
      </c>
      <c r="GN128" s="88" cm="1">
        <f t="array" ref="GN128">_xlfn.LET(_xlpm.rad,$FO128+1,_xlpm.typ,INDEX($E$20:$E$68,_xlpm.rad),_xlpm.kod,INDEX(AF$19:AF$68,_xlpm.rad),IFERROR(IF(AND(_xlpm.typ="H",_xlpm.kod&lt;&gt;""),UPPER(_xlpm.kod),GN$18),GN$18))</f>
        <v>23</v>
      </c>
      <c r="GO128" s="88" cm="1">
        <f t="array" ref="GO128">_xlfn.LET(_xlpm.rad,$FO128+1,_xlpm.typ,INDEX($E$20:$E$68,_xlpm.rad),_xlpm.kod,INDEX(AG$19:AG$68,_xlpm.rad),IFERROR(IF(AND(_xlpm.typ="H",_xlpm.kod&lt;&gt;""),UPPER(_xlpm.kod),GO$18),GO$18))</f>
        <v>24</v>
      </c>
      <c r="GP128" s="88" cm="1">
        <f t="array" ref="GP128">_xlfn.LET(_xlpm.rad,$FO128+1,_xlpm.typ,INDEX($E$20:$E$68,_xlpm.rad),_xlpm.kod,INDEX(AH$19:AH$68,_xlpm.rad),IFERROR(IF(AND(_xlpm.typ="H",_xlpm.kod&lt;&gt;""),UPPER(_xlpm.kod),GP$18),GP$18))</f>
        <v>25</v>
      </c>
      <c r="GQ128" s="88" cm="1">
        <f t="array" ref="GQ128">_xlfn.LET(_xlpm.rad,$FO128+1,_xlpm.typ,INDEX($E$20:$E$68,_xlpm.rad),_xlpm.kod,INDEX(AI$19:AI$68,_xlpm.rad),IFERROR(IF(AND(_xlpm.typ="H",_xlpm.kod&lt;&gt;""),UPPER(_xlpm.kod),GQ$18),GQ$18))</f>
        <v>26</v>
      </c>
      <c r="GR128" s="88" cm="1">
        <f t="array" ref="GR128">_xlfn.LET(_xlpm.rad,$FO128+1,_xlpm.typ,INDEX($E$20:$E$68,_xlpm.rad),_xlpm.kod,INDEX(AJ$19:AJ$68,_xlpm.rad),IFERROR(IF(AND(_xlpm.typ="H",_xlpm.kod&lt;&gt;""),UPPER(_xlpm.kod),GR$18),GR$18))</f>
        <v>27</v>
      </c>
      <c r="GS128" s="88" cm="1">
        <f t="array" ref="GS128">_xlfn.LET(_xlpm.rad,$FO128+1,_xlpm.typ,INDEX($E$20:$E$68,_xlpm.rad),_xlpm.kod,INDEX(AK$19:AK$68,_xlpm.rad),IFERROR(IF(AND(_xlpm.typ="H",_xlpm.kod&lt;&gt;""),UPPER(_xlpm.kod),GS$18),GS$18))</f>
        <v>28</v>
      </c>
      <c r="GT128" s="88" cm="1">
        <f t="array" ref="GT128">_xlfn.LET(_xlpm.rad,$FO128+1,_xlpm.typ,INDEX($E$20:$E$68,_xlpm.rad),_xlpm.kod,INDEX(AL$19:AL$68,_xlpm.rad),IFERROR(IF(AND(_xlpm.typ="H",_xlpm.kod&lt;&gt;""),UPPER(_xlpm.kod),GT$18),GT$18))</f>
        <v>29</v>
      </c>
      <c r="GU128" s="88" cm="1">
        <f t="array" ref="GU128">_xlfn.LET(_xlpm.rad,$FO128+1,_xlpm.typ,INDEX($E$20:$E$68,_xlpm.rad),_xlpm.kod,INDEX(AM$19:AM$68,_xlpm.rad),IFERROR(IF(AND(_xlpm.typ="H",_xlpm.kod&lt;&gt;""),UPPER(_xlpm.kod),GU$18),GU$18))</f>
        <v>30</v>
      </c>
    </row>
    <row r="129" spans="7:203" x14ac:dyDescent="0.35">
      <c r="G129" s="116"/>
      <c r="H129" s="117"/>
      <c r="EO129" s="88"/>
      <c r="EP129" s="88"/>
      <c r="EQ129" s="88"/>
      <c r="ER129" s="88"/>
      <c r="ES129" s="88"/>
      <c r="ET129" s="88"/>
      <c r="EU129" s="88"/>
      <c r="EV129" s="88"/>
      <c r="EW129" s="88"/>
      <c r="EX129" s="88"/>
      <c r="EY129" s="88"/>
      <c r="EZ129" s="88"/>
      <c r="FA129" s="88"/>
      <c r="FB129" s="88"/>
      <c r="FC129" s="88"/>
      <c r="FD129" s="88"/>
      <c r="FE129" s="88"/>
      <c r="FF129" s="88"/>
      <c r="FG129" s="88"/>
      <c r="FH129" s="88"/>
      <c r="FI129" s="88"/>
      <c r="FJ129" s="88"/>
      <c r="FK129" s="88"/>
      <c r="FL129" s="88"/>
      <c r="FM129" s="88"/>
      <c r="FN129" s="88"/>
      <c r="FR129" s="88" cm="1">
        <f t="array" ref="FR129">_xlfn.LET(_xlpm.rad,$FO128+1,_xlpm.typ,INDEX($E$20:$E$68,_xlpm.rad),_xlpm.kod,INDEX(J$19:J$68,_xlpm.rad),_xlpm.del,INDEX($F$19:$F$68,_xlpm.rad),IFERROR(IF(AND(_xlpm.typ="H",_xlpm.kod&lt;&gt;"",_xlpm.del&lt;&gt;"Hybrid - Thrust + 2 connections"),INDEX(Hyb_Tech,MATCH(_xlpm.kod,Hyb_Code,0)),FR$72),FR$72))</f>
        <v>1</v>
      </c>
      <c r="FS129" s="88" cm="1">
        <f t="array" ref="FS129">_xlfn.LET(_xlpm.rad,$FO128+1,_xlpm.typ,INDEX($E$20:$E$68,_xlpm.rad),_xlpm.kod,INDEX(K$19:K$68,_xlpm.rad),_xlpm.del,INDEX($F$19:$F$68,_xlpm.rad),IFERROR(IF(AND(_xlpm.typ="H",_xlpm.kod&lt;&gt;"",_xlpm.del&lt;&gt;"Hybrid - Thrust + 2 connections"),INDEX(Hyb_Tech,MATCH(_xlpm.kod,Hyb_Code,0)),FS$72),FS$72))</f>
        <v>2</v>
      </c>
      <c r="FT129" s="88" cm="1">
        <f t="array" ref="FT129">_xlfn.LET(_xlpm.rad,$FO128+1,_xlpm.typ,INDEX($E$20:$E$68,_xlpm.rad),_xlpm.kod,INDEX(L$19:L$68,_xlpm.rad),_xlpm.del,INDEX($F$19:$F$68,_xlpm.rad),IFERROR(IF(AND(_xlpm.typ="H",_xlpm.kod&lt;&gt;"",_xlpm.del&lt;&gt;"Hybrid - Thrust + 2 connections"),INDEX(Hyb_Tech,MATCH(_xlpm.kod,Hyb_Code,0)),FT$72),FT$72))</f>
        <v>3</v>
      </c>
      <c r="FU129" s="88" cm="1">
        <f t="array" ref="FU129">_xlfn.LET(_xlpm.rad,$FO128+1,_xlpm.typ,INDEX($E$20:$E$68,_xlpm.rad),_xlpm.kod,INDEX(M$19:M$68,_xlpm.rad),_xlpm.del,INDEX($F$19:$F$68,_xlpm.rad),IFERROR(IF(AND(_xlpm.typ="H",_xlpm.kod&lt;&gt;"",_xlpm.del&lt;&gt;"Hybrid - Thrust + 2 connections"),INDEX(Hyb_Tech,MATCH(_xlpm.kod,Hyb_Code,0)),FU$72),FU$72))</f>
        <v>4</v>
      </c>
      <c r="FV129" s="88" cm="1">
        <f t="array" ref="FV129">_xlfn.LET(_xlpm.rad,$FO128+1,_xlpm.typ,INDEX($E$20:$E$68,_xlpm.rad),_xlpm.kod,INDEX(N$19:N$68,_xlpm.rad),_xlpm.del,INDEX($F$19:$F$68,_xlpm.rad),IFERROR(IF(AND(_xlpm.typ="H",_xlpm.kod&lt;&gt;"",_xlpm.del&lt;&gt;"Hybrid - Thrust + 2 connections"),INDEX(Hyb_Tech,MATCH(_xlpm.kod,Hyb_Code,0)),FV$72),FV$72))</f>
        <v>5</v>
      </c>
      <c r="FW129" s="88" cm="1">
        <f t="array" ref="FW129">_xlfn.LET(_xlpm.rad,$FO128+1,_xlpm.typ,INDEX($E$20:$E$68,_xlpm.rad),_xlpm.kod,INDEX(O$19:O$68,_xlpm.rad),_xlpm.del,INDEX($F$19:$F$68,_xlpm.rad),IFERROR(IF(AND(_xlpm.typ="H",_xlpm.kod&lt;&gt;"",_xlpm.del&lt;&gt;"Hybrid - Thrust + 2 connections"),INDEX(Hyb_Tech,MATCH(_xlpm.kod,Hyb_Code,0)),FW$72),FW$72))</f>
        <v>6</v>
      </c>
      <c r="FX129" s="88" cm="1">
        <f t="array" ref="FX129">_xlfn.LET(_xlpm.rad,$FO128+1,_xlpm.typ,INDEX($E$20:$E$68,_xlpm.rad),_xlpm.kod,INDEX(P$19:P$68,_xlpm.rad),_xlpm.del,INDEX($F$19:$F$68,_xlpm.rad),IFERROR(IF(AND(_xlpm.typ="H",_xlpm.kod&lt;&gt;"",_xlpm.del&lt;&gt;"Hybrid - Thrust + 2 connections"),INDEX(Hyb_Tech,MATCH(_xlpm.kod,Hyb_Code,0)),FX$72),FX$72))</f>
        <v>7</v>
      </c>
      <c r="FY129" s="88" cm="1">
        <f t="array" ref="FY129">_xlfn.LET(_xlpm.rad,$FO128+1,_xlpm.typ,INDEX($E$20:$E$68,_xlpm.rad),_xlpm.kod,INDEX(Q$19:Q$68,_xlpm.rad),_xlpm.del,INDEX($F$19:$F$68,_xlpm.rad),IFERROR(IF(AND(_xlpm.typ="H",_xlpm.kod&lt;&gt;"",_xlpm.del&lt;&gt;"Hybrid - Thrust + 2 connections"),INDEX(Hyb_Tech,MATCH(_xlpm.kod,Hyb_Code,0)),FY$72),FY$72))</f>
        <v>8</v>
      </c>
      <c r="FZ129" s="88" cm="1">
        <f t="array" ref="FZ129">_xlfn.LET(_xlpm.rad,$FO128+1,_xlpm.typ,INDEX($E$20:$E$68,_xlpm.rad),_xlpm.kod,INDEX(R$19:R$68,_xlpm.rad),_xlpm.del,INDEX($F$19:$F$68,_xlpm.rad),IFERROR(IF(AND(_xlpm.typ="H",_xlpm.kod&lt;&gt;"",_xlpm.del&lt;&gt;"Hybrid - Thrust + 2 connections"),INDEX(Hyb_Tech,MATCH(_xlpm.kod,Hyb_Code,0)),FZ$72),FZ$72))</f>
        <v>9</v>
      </c>
      <c r="GA129" s="88" cm="1">
        <f t="array" ref="GA129">_xlfn.LET(_xlpm.rad,$FO128+1,_xlpm.typ,INDEX($E$20:$E$68,_xlpm.rad),_xlpm.kod,INDEX(S$19:S$68,_xlpm.rad),_xlpm.del,INDEX($F$19:$F$68,_xlpm.rad),IFERROR(IF(AND(_xlpm.typ="H",_xlpm.kod&lt;&gt;"",_xlpm.del&lt;&gt;"Hybrid - Thrust + 2 connections"),INDEX(Hyb_Tech,MATCH(_xlpm.kod,Hyb_Code,0)),GA$72),GA$72))</f>
        <v>10</v>
      </c>
      <c r="GB129" s="88" cm="1">
        <f t="array" ref="GB129">_xlfn.LET(_xlpm.rad,$FO128+1,_xlpm.typ,INDEX($E$20:$E$68,_xlpm.rad),_xlpm.kod,INDEX(T$19:T$68,_xlpm.rad),_xlpm.del,INDEX($F$19:$F$68,_xlpm.rad),IFERROR(IF(AND(_xlpm.typ="H",_xlpm.kod&lt;&gt;"",_xlpm.del&lt;&gt;"Hybrid - Thrust + 2 connections"),INDEX(Hyb_Tech,MATCH(_xlpm.kod,Hyb_Code,0)),GB$72),GB$72))</f>
        <v>11</v>
      </c>
      <c r="GC129" s="88" cm="1">
        <f t="array" ref="GC129">_xlfn.LET(_xlpm.rad,$FO128+1,_xlpm.typ,INDEX($E$20:$E$68,_xlpm.rad),_xlpm.kod,INDEX(U$19:U$68,_xlpm.rad),_xlpm.del,INDEX($F$19:$F$68,_xlpm.rad),IFERROR(IF(AND(_xlpm.typ="H",_xlpm.kod&lt;&gt;"",_xlpm.del&lt;&gt;"Hybrid - Thrust + 2 connections"),INDEX(Hyb_Tech,MATCH(_xlpm.kod,Hyb_Code,0)),GC$72),GC$72))</f>
        <v>12</v>
      </c>
      <c r="GD129" s="88" cm="1">
        <f t="array" ref="GD129">_xlfn.LET(_xlpm.rad,$FO128+1,_xlpm.typ,INDEX($E$20:$E$68,_xlpm.rad),_xlpm.kod,INDEX(V$19:V$68,_xlpm.rad),_xlpm.del,INDEX($F$19:$F$68,_xlpm.rad),IFERROR(IF(AND(_xlpm.typ="H",_xlpm.kod&lt;&gt;"",_xlpm.del&lt;&gt;"Hybrid - Thrust + 2 connections"),INDEX(Hyb_Tech,MATCH(_xlpm.kod,Hyb_Code,0)),GD$72),GD$72))</f>
        <v>13</v>
      </c>
      <c r="GE129" s="88" cm="1">
        <f t="array" ref="GE129">_xlfn.LET(_xlpm.rad,$FO128+1,_xlpm.typ,INDEX($E$20:$E$68,_xlpm.rad),_xlpm.kod,INDEX(W$19:W$68,_xlpm.rad),_xlpm.del,INDEX($F$19:$F$68,_xlpm.rad),IFERROR(IF(AND(_xlpm.typ="H",_xlpm.kod&lt;&gt;"",_xlpm.del&lt;&gt;"Hybrid - Thrust + 2 connections"),INDEX(Hyb_Tech,MATCH(_xlpm.kod,Hyb_Code,0)),GE$72),GE$72))</f>
        <v>14</v>
      </c>
      <c r="GF129" s="88" cm="1">
        <f t="array" ref="GF129">_xlfn.LET(_xlpm.rad,$FO128+1,_xlpm.typ,INDEX($E$20:$E$68,_xlpm.rad),_xlpm.kod,INDEX(X$19:X$68,_xlpm.rad),_xlpm.del,INDEX($F$19:$F$68,_xlpm.rad),IFERROR(IF(AND(_xlpm.typ="H",_xlpm.kod&lt;&gt;"",_xlpm.del&lt;&gt;"Hybrid - Thrust + 2 connections"),INDEX(Hyb_Tech,MATCH(_xlpm.kod,Hyb_Code,0)),GF$72),GF$72))</f>
        <v>15</v>
      </c>
      <c r="GG129" s="88" cm="1">
        <f t="array" ref="GG129">_xlfn.LET(_xlpm.rad,$FO128+1,_xlpm.typ,INDEX($E$20:$E$68,_xlpm.rad),_xlpm.kod,INDEX(Y$19:Y$68,_xlpm.rad),_xlpm.del,INDEX($F$19:$F$68,_xlpm.rad),IFERROR(IF(AND(_xlpm.typ="H",_xlpm.kod&lt;&gt;"",_xlpm.del&lt;&gt;"Hybrid - Thrust + 2 connections"),INDEX(Hyb_Tech,MATCH(_xlpm.kod,Hyb_Code,0)),GG$72),GG$72))</f>
        <v>16</v>
      </c>
      <c r="GH129" s="88" cm="1">
        <f t="array" ref="GH129">_xlfn.LET(_xlpm.rad,$FO128+1,_xlpm.typ,INDEX($E$20:$E$68,_xlpm.rad),_xlpm.kod,INDEX(Z$19:Z$68,_xlpm.rad),_xlpm.del,INDEX($F$19:$F$68,_xlpm.rad),IFERROR(IF(AND(_xlpm.typ="H",_xlpm.kod&lt;&gt;"",_xlpm.del&lt;&gt;"Hybrid - Thrust + 2 connections"),INDEX(Hyb_Tech,MATCH(_xlpm.kod,Hyb_Code,0)),GH$72),GH$72))</f>
        <v>17</v>
      </c>
      <c r="GI129" s="88" cm="1">
        <f t="array" ref="GI129">_xlfn.LET(_xlpm.rad,$FO128+1,_xlpm.typ,INDEX($E$20:$E$68,_xlpm.rad),_xlpm.kod,INDEX(AA$19:AA$68,_xlpm.rad),_xlpm.del,INDEX($F$19:$F$68,_xlpm.rad),IFERROR(IF(AND(_xlpm.typ="H",_xlpm.kod&lt;&gt;"",_xlpm.del&lt;&gt;"Hybrid - Thrust + 2 connections"),INDEX(Hyb_Tech,MATCH(_xlpm.kod,Hyb_Code,0)),GI$72),GI$72))</f>
        <v>18</v>
      </c>
      <c r="GJ129" s="88" cm="1">
        <f t="array" ref="GJ129">_xlfn.LET(_xlpm.rad,$FO128+1,_xlpm.typ,INDEX($E$20:$E$68,_xlpm.rad),_xlpm.kod,INDEX(AB$19:AB$68,_xlpm.rad),_xlpm.del,INDEX($F$19:$F$68,_xlpm.rad),IFERROR(IF(AND(_xlpm.typ="H",_xlpm.kod&lt;&gt;"",_xlpm.del&lt;&gt;"Hybrid - Thrust + 2 connections"),INDEX(Hyb_Tech,MATCH(_xlpm.kod,Hyb_Code,0)),GJ$72),GJ$72))</f>
        <v>19</v>
      </c>
      <c r="GK129" s="88" cm="1">
        <f t="array" ref="GK129">_xlfn.LET(_xlpm.rad,$FO128+1,_xlpm.typ,INDEX($E$20:$E$68,_xlpm.rad),_xlpm.kod,INDEX(AC$19:AC$68,_xlpm.rad),_xlpm.del,INDEX($F$19:$F$68,_xlpm.rad),IFERROR(IF(AND(_xlpm.typ="H",_xlpm.kod&lt;&gt;"",_xlpm.del&lt;&gt;"Hybrid - Thrust + 2 connections"),INDEX(Hyb_Tech,MATCH(_xlpm.kod,Hyb_Code,0)),GK$72),GK$72))</f>
        <v>20</v>
      </c>
      <c r="GL129" s="88" cm="1">
        <f t="array" ref="GL129">_xlfn.LET(_xlpm.rad,$FO128+1,_xlpm.typ,INDEX($E$20:$E$68,_xlpm.rad),_xlpm.kod,INDEX(AD$19:AD$68,_xlpm.rad),_xlpm.del,INDEX($F$19:$F$68,_xlpm.rad),IFERROR(IF(AND(_xlpm.typ="H",_xlpm.kod&lt;&gt;"",_xlpm.del&lt;&gt;"Hybrid - Thrust + 2 connections"),INDEX(Hyb_Tech,MATCH(_xlpm.kod,Hyb_Code,0)),GL$72),GL$72))</f>
        <v>21</v>
      </c>
      <c r="GM129" s="88" cm="1">
        <f t="array" ref="GM129">_xlfn.LET(_xlpm.rad,$FO128+1,_xlpm.typ,INDEX($E$20:$E$68,_xlpm.rad),_xlpm.kod,INDEX(AE$19:AE$68,_xlpm.rad),_xlpm.del,INDEX($F$19:$F$68,_xlpm.rad),IFERROR(IF(AND(_xlpm.typ="H",_xlpm.kod&lt;&gt;"",_xlpm.del&lt;&gt;"Hybrid - Thrust + 2 connections"),INDEX(Hyb_Tech,MATCH(_xlpm.kod,Hyb_Code,0)),GM$72),GM$72))</f>
        <v>22</v>
      </c>
      <c r="GN129" s="88" cm="1">
        <f t="array" ref="GN129">_xlfn.LET(_xlpm.rad,$FO128+1,_xlpm.typ,INDEX($E$20:$E$68,_xlpm.rad),_xlpm.kod,INDEX(AF$19:AF$68,_xlpm.rad),_xlpm.del,INDEX($F$19:$F$68,_xlpm.rad),IFERROR(IF(AND(_xlpm.typ="H",_xlpm.kod&lt;&gt;"",_xlpm.del&lt;&gt;"Hybrid - Thrust + 2 connections"),INDEX(Hyb_Tech,MATCH(_xlpm.kod,Hyb_Code,0)),GN$72),GN$72))</f>
        <v>23</v>
      </c>
      <c r="GO129" s="88" cm="1">
        <f t="array" ref="GO129">_xlfn.LET(_xlpm.rad,$FO128+1,_xlpm.typ,INDEX($E$20:$E$68,_xlpm.rad),_xlpm.kod,INDEX(AG$19:AG$68,_xlpm.rad),_xlpm.del,INDEX($F$19:$F$68,_xlpm.rad),IFERROR(IF(AND(_xlpm.typ="H",_xlpm.kod&lt;&gt;"",_xlpm.del&lt;&gt;"Hybrid - Thrust + 2 connections"),INDEX(Hyb_Tech,MATCH(_xlpm.kod,Hyb_Code,0)),GO$72),GO$72))</f>
        <v>24</v>
      </c>
      <c r="GP129" s="88" cm="1">
        <f t="array" ref="GP129">_xlfn.LET(_xlpm.rad,$FO128+1,_xlpm.typ,INDEX($E$20:$E$68,_xlpm.rad),_xlpm.kod,INDEX(AH$19:AH$68,_xlpm.rad),_xlpm.del,INDEX($F$19:$F$68,_xlpm.rad),IFERROR(IF(AND(_xlpm.typ="H",_xlpm.kod&lt;&gt;"",_xlpm.del&lt;&gt;"Hybrid - Thrust + 2 connections"),INDEX(Hyb_Tech,MATCH(_xlpm.kod,Hyb_Code,0)),GP$72),GP$72))</f>
        <v>25</v>
      </c>
      <c r="GQ129" s="88" cm="1">
        <f t="array" ref="GQ129">_xlfn.LET(_xlpm.rad,$FO128+1,_xlpm.typ,INDEX($E$20:$E$68,_xlpm.rad),_xlpm.kod,INDEX(AI$19:AI$68,_xlpm.rad),_xlpm.del,INDEX($F$19:$F$68,_xlpm.rad),IFERROR(IF(AND(_xlpm.typ="H",_xlpm.kod&lt;&gt;"",_xlpm.del&lt;&gt;"Hybrid - Thrust + 2 connections"),INDEX(Hyb_Tech,MATCH(_xlpm.kod,Hyb_Code,0)),GQ$72),GQ$72))</f>
        <v>26</v>
      </c>
      <c r="GR129" s="88" cm="1">
        <f t="array" ref="GR129">_xlfn.LET(_xlpm.rad,$FO128+1,_xlpm.typ,INDEX($E$20:$E$68,_xlpm.rad),_xlpm.kod,INDEX(AJ$19:AJ$68,_xlpm.rad),_xlpm.del,INDEX($F$19:$F$68,_xlpm.rad),IFERROR(IF(AND(_xlpm.typ="H",_xlpm.kod&lt;&gt;"",_xlpm.del&lt;&gt;"Hybrid - Thrust + 2 connections"),INDEX(Hyb_Tech,MATCH(_xlpm.kod,Hyb_Code,0)),GR$72),GR$72))</f>
        <v>27</v>
      </c>
      <c r="GS129" s="88" cm="1">
        <f t="array" ref="GS129">_xlfn.LET(_xlpm.rad,$FO128+1,_xlpm.typ,INDEX($E$20:$E$68,_xlpm.rad),_xlpm.kod,INDEX(AK$19:AK$68,_xlpm.rad),_xlpm.del,INDEX($F$19:$F$68,_xlpm.rad),IFERROR(IF(AND(_xlpm.typ="H",_xlpm.kod&lt;&gt;"",_xlpm.del&lt;&gt;"Hybrid - Thrust + 2 connections"),INDEX(Hyb_Tech,MATCH(_xlpm.kod,Hyb_Code,0)),GS$72),GS$72))</f>
        <v>28</v>
      </c>
      <c r="GT129" s="88" cm="1">
        <f t="array" ref="GT129">_xlfn.LET(_xlpm.rad,$FO128+1,_xlpm.typ,INDEX($E$20:$E$68,_xlpm.rad),_xlpm.kod,INDEX(AL$19:AL$68,_xlpm.rad),_xlpm.del,INDEX($F$19:$F$68,_xlpm.rad),IFERROR(IF(AND(_xlpm.typ="H",_xlpm.kod&lt;&gt;"",_xlpm.del&lt;&gt;"Hybrid - Thrust + 2 connections"),INDEX(Hyb_Tech,MATCH(_xlpm.kod,Hyb_Code,0)),GT$72),GT$72))</f>
        <v>29</v>
      </c>
      <c r="GU129" s="88" cm="1">
        <f t="array" ref="GU129">_xlfn.LET(_xlpm.rad,$FO128+1,_xlpm.typ,INDEX($E$20:$E$68,_xlpm.rad),_xlpm.kod,INDEX(AM$19:AM$68,_xlpm.rad),_xlpm.del,INDEX($F$19:$F$68,_xlpm.rad),IFERROR(IF(AND(_xlpm.typ="H",_xlpm.kod&lt;&gt;"",_xlpm.del&lt;&gt;"Hybrid - Thrust + 2 connections"),INDEX(Hyb_Tech,MATCH(_xlpm.kod,Hyb_Code,0)),GU$72),GU$72))</f>
        <v>30</v>
      </c>
    </row>
    <row r="130" spans="7:203" x14ac:dyDescent="0.35">
      <c r="G130" s="116"/>
      <c r="H130" s="117"/>
      <c r="EM130" s="91"/>
      <c r="EN130" s="91"/>
      <c r="FP130" s="91" t="str" cm="1">
        <f t="array" ref="FP130">IFERROR(IF($T$5="",IF(COUNTIF(FR130:GU130,1)&gt;$FP$18,INDEX($FR$73:$GU$170,$FO128*5/2+1,MATCH(1,FR130:GU130,0)),""),IF(SUM(FR130:GU130)&gt;2,INDEX($FR$73:$GU$170,$FO128*5/2+1,MATCH(1,FR130:GU130,0)),"")),"")</f>
        <v/>
      </c>
      <c r="FQ130" s="88" t="str" cm="1">
        <f t="array" ref="FQ130">IFERROR(IF(LEFT(FP130,1)="C",IF(RIGHT(FP130,1)="+",LEFT(FP130,LEN(FP130)-1),CONCATENATE(FP130,"+")),IF(SUM($FR130:$GU130)&gt;$FP$18,INDEX($FR$73:$GU$170,$FO128*5/2+1,MATCH(0.5,FR130:GU130,0)),"")),"")</f>
        <v/>
      </c>
      <c r="FR130" s="88" t="str">
        <f t="shared" ref="FR130:GU130" si="3389">IF(AND($BV$6="D",LEFT(FR128,1)="C"),IF(COUNTIF($FR129:$GU129,FR129)&gt;$FP$18,INDEX(Hyb_Tech_Value,MATCH(FR128,Hyb_Code,0)),""),IF(COUNTIF($FR129:$GU129,FR129)&gt;$FP$18,INDEX(Hyb_Tech_Value,MATCH(FR128,Hyb_Code,0)),""))</f>
        <v/>
      </c>
      <c r="FS130" s="88" t="str">
        <f t="shared" si="3389"/>
        <v/>
      </c>
      <c r="FT130" s="88" t="str">
        <f t="shared" si="3389"/>
        <v/>
      </c>
      <c r="FU130" s="88" t="str">
        <f t="shared" si="3389"/>
        <v/>
      </c>
      <c r="FV130" s="88" t="str">
        <f t="shared" si="3389"/>
        <v/>
      </c>
      <c r="FW130" s="88" t="str">
        <f t="shared" si="3389"/>
        <v/>
      </c>
      <c r="FX130" s="88" t="str">
        <f t="shared" si="3389"/>
        <v/>
      </c>
      <c r="FY130" s="88" t="str">
        <f t="shared" si="3389"/>
        <v/>
      </c>
      <c r="FZ130" s="88" t="str">
        <f t="shared" si="3389"/>
        <v/>
      </c>
      <c r="GA130" s="88" t="str">
        <f t="shared" si="3389"/>
        <v/>
      </c>
      <c r="GB130" s="88" t="str">
        <f t="shared" si="3389"/>
        <v/>
      </c>
      <c r="GC130" s="88" t="str">
        <f t="shared" si="3389"/>
        <v/>
      </c>
      <c r="GD130" s="88" t="str">
        <f t="shared" si="3389"/>
        <v/>
      </c>
      <c r="GE130" s="88" t="str">
        <f t="shared" si="3389"/>
        <v/>
      </c>
      <c r="GF130" s="88" t="str">
        <f t="shared" si="3389"/>
        <v/>
      </c>
      <c r="GG130" s="88" t="str">
        <f t="shared" si="3389"/>
        <v/>
      </c>
      <c r="GH130" s="88" t="str">
        <f t="shared" si="3389"/>
        <v/>
      </c>
      <c r="GI130" s="88" t="str">
        <f t="shared" si="3389"/>
        <v/>
      </c>
      <c r="GJ130" s="88" t="str">
        <f t="shared" si="3389"/>
        <v/>
      </c>
      <c r="GK130" s="88" t="str">
        <f t="shared" si="3389"/>
        <v/>
      </c>
      <c r="GL130" s="88" t="str">
        <f t="shared" si="3389"/>
        <v/>
      </c>
      <c r="GM130" s="88" t="str">
        <f t="shared" si="3389"/>
        <v/>
      </c>
      <c r="GN130" s="88" t="str">
        <f t="shared" si="3389"/>
        <v/>
      </c>
      <c r="GO130" s="88" t="str">
        <f t="shared" si="3389"/>
        <v/>
      </c>
      <c r="GP130" s="88" t="str">
        <f t="shared" si="3389"/>
        <v/>
      </c>
      <c r="GQ130" s="88" t="str">
        <f t="shared" si="3389"/>
        <v/>
      </c>
      <c r="GR130" s="88" t="str">
        <f t="shared" si="3389"/>
        <v/>
      </c>
      <c r="GS130" s="88" t="str">
        <f t="shared" si="3389"/>
        <v/>
      </c>
      <c r="GT130" s="88" t="str">
        <f t="shared" si="3389"/>
        <v/>
      </c>
      <c r="GU130" s="88" t="str">
        <f t="shared" si="3389"/>
        <v/>
      </c>
    </row>
    <row r="131" spans="7:203" x14ac:dyDescent="0.35">
      <c r="G131" s="116"/>
      <c r="H131" s="117"/>
      <c r="EO131" s="88"/>
      <c r="EP131" s="88"/>
      <c r="EQ131" s="88"/>
      <c r="ER131" s="88"/>
      <c r="ES131" s="88"/>
      <c r="ET131" s="88"/>
      <c r="EU131" s="88"/>
      <c r="EV131" s="88"/>
      <c r="EW131" s="88"/>
      <c r="EX131" s="88"/>
      <c r="EY131" s="88"/>
      <c r="EZ131" s="88"/>
      <c r="FA131" s="88"/>
      <c r="FB131" s="88"/>
      <c r="FC131" s="88"/>
      <c r="FD131" s="88"/>
      <c r="FE131" s="88"/>
      <c r="FF131" s="88"/>
      <c r="FG131" s="88"/>
      <c r="FH131" s="88"/>
      <c r="FI131" s="88"/>
      <c r="FJ131" s="88"/>
      <c r="FK131" s="88"/>
      <c r="FL131" s="88"/>
      <c r="FM131" s="88"/>
      <c r="FN131" s="88"/>
      <c r="FQ131" s="88"/>
      <c r="FR131" s="88" t="str">
        <f t="shared" ref="FR131:GU131" si="3390">IFERROR(IF(LEFT(FR128,FIND("*",FR128)-1)=LEFT($FQ$73,FIND("*",$FQ$73)-1),0.5,""),"")</f>
        <v/>
      </c>
      <c r="FS131" s="88" t="str">
        <f t="shared" si="3390"/>
        <v/>
      </c>
      <c r="FT131" s="88" t="str">
        <f t="shared" si="3390"/>
        <v/>
      </c>
      <c r="FU131" s="88" t="str">
        <f t="shared" si="3390"/>
        <v/>
      </c>
      <c r="FV131" s="88" t="str">
        <f t="shared" si="3390"/>
        <v/>
      </c>
      <c r="FW131" s="88" t="str">
        <f t="shared" si="3390"/>
        <v/>
      </c>
      <c r="FX131" s="88" t="str">
        <f t="shared" si="3390"/>
        <v/>
      </c>
      <c r="FY131" s="88" t="str">
        <f t="shared" si="3390"/>
        <v/>
      </c>
      <c r="FZ131" s="88" t="str">
        <f t="shared" si="3390"/>
        <v/>
      </c>
      <c r="GA131" s="88" t="str">
        <f t="shared" si="3390"/>
        <v/>
      </c>
      <c r="GB131" s="88" t="str">
        <f t="shared" si="3390"/>
        <v/>
      </c>
      <c r="GC131" s="88" t="str">
        <f t="shared" si="3390"/>
        <v/>
      </c>
      <c r="GD131" s="88" t="str">
        <f t="shared" si="3390"/>
        <v/>
      </c>
      <c r="GE131" s="88" t="str">
        <f t="shared" si="3390"/>
        <v/>
      </c>
      <c r="GF131" s="88" t="str">
        <f t="shared" si="3390"/>
        <v/>
      </c>
      <c r="GG131" s="88" t="str">
        <f t="shared" si="3390"/>
        <v/>
      </c>
      <c r="GH131" s="88" t="str">
        <f t="shared" si="3390"/>
        <v/>
      </c>
      <c r="GI131" s="88" t="str">
        <f t="shared" si="3390"/>
        <v/>
      </c>
      <c r="GJ131" s="88" t="str">
        <f t="shared" si="3390"/>
        <v/>
      </c>
      <c r="GK131" s="88" t="str">
        <f t="shared" si="3390"/>
        <v/>
      </c>
      <c r="GL131" s="88" t="str">
        <f t="shared" si="3390"/>
        <v/>
      </c>
      <c r="GM131" s="88" t="str">
        <f t="shared" si="3390"/>
        <v/>
      </c>
      <c r="GN131" s="88" t="str">
        <f t="shared" si="3390"/>
        <v/>
      </c>
      <c r="GO131" s="88" t="str">
        <f t="shared" si="3390"/>
        <v/>
      </c>
      <c r="GP131" s="88" t="str">
        <f t="shared" si="3390"/>
        <v/>
      </c>
      <c r="GQ131" s="88" t="str">
        <f t="shared" si="3390"/>
        <v/>
      </c>
      <c r="GR131" s="88" t="str">
        <f t="shared" si="3390"/>
        <v/>
      </c>
      <c r="GS131" s="88" t="str">
        <f t="shared" si="3390"/>
        <v/>
      </c>
      <c r="GT131" s="88" t="str">
        <f t="shared" si="3390"/>
        <v/>
      </c>
      <c r="GU131" s="88" t="str">
        <f t="shared" si="3390"/>
        <v/>
      </c>
    </row>
    <row r="132" spans="7:203" x14ac:dyDescent="0.35">
      <c r="EM132" s="91"/>
      <c r="EN132" s="91"/>
      <c r="FQ132" s="88"/>
      <c r="FR132" s="88"/>
      <c r="FS132" s="88"/>
      <c r="FT132" s="88"/>
      <c r="FU132" s="88"/>
      <c r="FV132" s="88"/>
      <c r="FW132" s="88"/>
      <c r="FX132" s="88"/>
      <c r="FY132" s="88"/>
      <c r="FZ132" s="88"/>
      <c r="GA132" s="88"/>
      <c r="GB132" s="88"/>
      <c r="GC132" s="88"/>
      <c r="GD132" s="88"/>
      <c r="GE132" s="88"/>
      <c r="GF132" s="88"/>
      <c r="GG132" s="88"/>
      <c r="GH132" s="88"/>
      <c r="GI132" s="88"/>
      <c r="GJ132" s="88"/>
      <c r="GK132" s="88"/>
      <c r="GL132" s="88"/>
      <c r="GM132" s="88"/>
      <c r="GN132" s="88"/>
      <c r="GO132" s="88"/>
      <c r="GP132" s="88"/>
      <c r="GQ132" s="88"/>
      <c r="GR132" s="88"/>
      <c r="GS132" s="88"/>
      <c r="GT132" s="88"/>
      <c r="GU132" s="88"/>
    </row>
    <row r="133" spans="7:203" x14ac:dyDescent="0.35">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91">
        <v>24</v>
      </c>
      <c r="FP133" s="88" t="str">
        <f t="shared" ref="FP133" si="3391">IF(SUM(FR136:GU136)&gt;2,FQ133,"")</f>
        <v/>
      </c>
      <c r="FQ133" s="88" t="str" cm="1">
        <f t="array" ref="FQ133">IF(SUM(FR135:GU135)&gt;0,_xlfn.LET(_xlpm.area,FR133:GU133,_xlpm.texts,_xlfn.UNIQUE(_xlfn._xlws.FILTER(_xlpm.area,_xlpm.area&lt;&gt;"")),_xlpm.number,COUNTIF(_xlpm.area,_xlpm.texts),INDEX(_xlpm.texts,MATCH(MAX(_xlpm.number),_xlpm.number,0))),"")</f>
        <v/>
      </c>
      <c r="FR133" s="88" cm="1">
        <f t="array" ref="FR133">_xlfn.LET(_xlpm.rad,$FO133+1,_xlpm.typ,INDEX($E$20:$E$68,_xlpm.rad),_xlpm.kod,INDEX(J$19:J$68,_xlpm.rad),IFERROR(IF(AND(_xlpm.typ="H",_xlpm.kod&lt;&gt;""),UPPER(_xlpm.kod),FR$18),FR$18))</f>
        <v>1</v>
      </c>
      <c r="FS133" s="88" cm="1">
        <f t="array" ref="FS133">_xlfn.LET(_xlpm.rad,$FO133+1,_xlpm.typ,INDEX($E$20:$E$68,_xlpm.rad),_xlpm.kod,INDEX(K$19:K$68,_xlpm.rad),IFERROR(IF(AND(_xlpm.typ="H",_xlpm.kod&lt;&gt;""),UPPER(_xlpm.kod),FS$18),FS$18))</f>
        <v>2</v>
      </c>
      <c r="FT133" s="88" cm="1">
        <f t="array" ref="FT133">_xlfn.LET(_xlpm.rad,$FO133+1,_xlpm.typ,INDEX($E$20:$E$68,_xlpm.rad),_xlpm.kod,INDEX(L$19:L$68,_xlpm.rad),IFERROR(IF(AND(_xlpm.typ="H",_xlpm.kod&lt;&gt;""),UPPER(_xlpm.kod),FT$18),FT$18))</f>
        <v>3</v>
      </c>
      <c r="FU133" s="88" cm="1">
        <f t="array" ref="FU133">_xlfn.LET(_xlpm.rad,$FO133+1,_xlpm.typ,INDEX($E$20:$E$68,_xlpm.rad),_xlpm.kod,INDEX(M$19:M$68,_xlpm.rad),IFERROR(IF(AND(_xlpm.typ="H",_xlpm.kod&lt;&gt;""),UPPER(_xlpm.kod),FU$18),FU$18))</f>
        <v>4</v>
      </c>
      <c r="FV133" s="88" cm="1">
        <f t="array" ref="FV133">_xlfn.LET(_xlpm.rad,$FO133+1,_xlpm.typ,INDEX($E$20:$E$68,_xlpm.rad),_xlpm.kod,INDEX(N$19:N$68,_xlpm.rad),IFERROR(IF(AND(_xlpm.typ="H",_xlpm.kod&lt;&gt;""),UPPER(_xlpm.kod),FV$18),FV$18))</f>
        <v>5</v>
      </c>
      <c r="FW133" s="88" cm="1">
        <f t="array" ref="FW133">_xlfn.LET(_xlpm.rad,$FO133+1,_xlpm.typ,INDEX($E$20:$E$68,_xlpm.rad),_xlpm.kod,INDEX(O$19:O$68,_xlpm.rad),IFERROR(IF(AND(_xlpm.typ="H",_xlpm.kod&lt;&gt;""),UPPER(_xlpm.kod),FW$18),FW$18))</f>
        <v>6</v>
      </c>
      <c r="FX133" s="88" cm="1">
        <f t="array" ref="FX133">_xlfn.LET(_xlpm.rad,$FO133+1,_xlpm.typ,INDEX($E$20:$E$68,_xlpm.rad),_xlpm.kod,INDEX(P$19:P$68,_xlpm.rad),IFERROR(IF(AND(_xlpm.typ="H",_xlpm.kod&lt;&gt;""),UPPER(_xlpm.kod),FX$18),FX$18))</f>
        <v>7</v>
      </c>
      <c r="FY133" s="88" cm="1">
        <f t="array" ref="FY133">_xlfn.LET(_xlpm.rad,$FO133+1,_xlpm.typ,INDEX($E$20:$E$68,_xlpm.rad),_xlpm.kod,INDEX(Q$19:Q$68,_xlpm.rad),IFERROR(IF(AND(_xlpm.typ="H",_xlpm.kod&lt;&gt;""),UPPER(_xlpm.kod),FY$18),FY$18))</f>
        <v>8</v>
      </c>
      <c r="FZ133" s="88" cm="1">
        <f t="array" ref="FZ133">_xlfn.LET(_xlpm.rad,$FO133+1,_xlpm.typ,INDEX($E$20:$E$68,_xlpm.rad),_xlpm.kod,INDEX(R$19:R$68,_xlpm.rad),IFERROR(IF(AND(_xlpm.typ="H",_xlpm.kod&lt;&gt;""),UPPER(_xlpm.kod),FZ$18),FZ$18))</f>
        <v>9</v>
      </c>
      <c r="GA133" s="88" cm="1">
        <f t="array" ref="GA133">_xlfn.LET(_xlpm.rad,$FO133+1,_xlpm.typ,INDEX($E$20:$E$68,_xlpm.rad),_xlpm.kod,INDEX(S$19:S$68,_xlpm.rad),IFERROR(IF(AND(_xlpm.typ="H",_xlpm.kod&lt;&gt;""),UPPER(_xlpm.kod),GA$18),GA$18))</f>
        <v>10</v>
      </c>
      <c r="GB133" s="88" cm="1">
        <f t="array" ref="GB133">_xlfn.LET(_xlpm.rad,$FO133+1,_xlpm.typ,INDEX($E$20:$E$68,_xlpm.rad),_xlpm.kod,INDEX(T$19:T$68,_xlpm.rad),IFERROR(IF(AND(_xlpm.typ="H",_xlpm.kod&lt;&gt;""),UPPER(_xlpm.kod),GB$18),GB$18))</f>
        <v>11</v>
      </c>
      <c r="GC133" s="88" cm="1">
        <f t="array" ref="GC133">_xlfn.LET(_xlpm.rad,$FO133+1,_xlpm.typ,INDEX($E$20:$E$68,_xlpm.rad),_xlpm.kod,INDEX(U$19:U$68,_xlpm.rad),IFERROR(IF(AND(_xlpm.typ="H",_xlpm.kod&lt;&gt;""),UPPER(_xlpm.kod),GC$18),GC$18))</f>
        <v>12</v>
      </c>
      <c r="GD133" s="88" cm="1">
        <f t="array" ref="GD133">_xlfn.LET(_xlpm.rad,$FO133+1,_xlpm.typ,INDEX($E$20:$E$68,_xlpm.rad),_xlpm.kod,INDEX(V$19:V$68,_xlpm.rad),IFERROR(IF(AND(_xlpm.typ="H",_xlpm.kod&lt;&gt;""),UPPER(_xlpm.kod),GD$18),GD$18))</f>
        <v>13</v>
      </c>
      <c r="GE133" s="88" cm="1">
        <f t="array" ref="GE133">_xlfn.LET(_xlpm.rad,$FO133+1,_xlpm.typ,INDEX($E$20:$E$68,_xlpm.rad),_xlpm.kod,INDEX(W$19:W$68,_xlpm.rad),IFERROR(IF(AND(_xlpm.typ="H",_xlpm.kod&lt;&gt;""),UPPER(_xlpm.kod),GE$18),GE$18))</f>
        <v>14</v>
      </c>
      <c r="GF133" s="88" cm="1">
        <f t="array" ref="GF133">_xlfn.LET(_xlpm.rad,$FO133+1,_xlpm.typ,INDEX($E$20:$E$68,_xlpm.rad),_xlpm.kod,INDEX(X$19:X$68,_xlpm.rad),IFERROR(IF(AND(_xlpm.typ="H",_xlpm.kod&lt;&gt;""),UPPER(_xlpm.kod),GF$18),GF$18))</f>
        <v>15</v>
      </c>
      <c r="GG133" s="88" cm="1">
        <f t="array" ref="GG133">_xlfn.LET(_xlpm.rad,$FO133+1,_xlpm.typ,INDEX($E$20:$E$68,_xlpm.rad),_xlpm.kod,INDEX(Y$19:Y$68,_xlpm.rad),IFERROR(IF(AND(_xlpm.typ="H",_xlpm.kod&lt;&gt;""),UPPER(_xlpm.kod),GG$18),GG$18))</f>
        <v>16</v>
      </c>
      <c r="GH133" s="88" cm="1">
        <f t="array" ref="GH133">_xlfn.LET(_xlpm.rad,$FO133+1,_xlpm.typ,INDEX($E$20:$E$68,_xlpm.rad),_xlpm.kod,INDEX(Z$19:Z$68,_xlpm.rad),IFERROR(IF(AND(_xlpm.typ="H",_xlpm.kod&lt;&gt;""),UPPER(_xlpm.kod),GH$18),GH$18))</f>
        <v>17</v>
      </c>
      <c r="GI133" s="88" cm="1">
        <f t="array" ref="GI133">_xlfn.LET(_xlpm.rad,$FO133+1,_xlpm.typ,INDEX($E$20:$E$68,_xlpm.rad),_xlpm.kod,INDEX(AA$19:AA$68,_xlpm.rad),IFERROR(IF(AND(_xlpm.typ="H",_xlpm.kod&lt;&gt;""),UPPER(_xlpm.kod),GI$18),GI$18))</f>
        <v>18</v>
      </c>
      <c r="GJ133" s="88" cm="1">
        <f t="array" ref="GJ133">_xlfn.LET(_xlpm.rad,$FO133+1,_xlpm.typ,INDEX($E$20:$E$68,_xlpm.rad),_xlpm.kod,INDEX(AB$19:AB$68,_xlpm.rad),IFERROR(IF(AND(_xlpm.typ="H",_xlpm.kod&lt;&gt;""),UPPER(_xlpm.kod),GJ$18),GJ$18))</f>
        <v>19</v>
      </c>
      <c r="GK133" s="88" cm="1">
        <f t="array" ref="GK133">_xlfn.LET(_xlpm.rad,$FO133+1,_xlpm.typ,INDEX($E$20:$E$68,_xlpm.rad),_xlpm.kod,INDEX(AC$19:AC$68,_xlpm.rad),IFERROR(IF(AND(_xlpm.typ="H",_xlpm.kod&lt;&gt;""),UPPER(_xlpm.kod),GK$18),GK$18))</f>
        <v>20</v>
      </c>
      <c r="GL133" s="88" cm="1">
        <f t="array" ref="GL133">_xlfn.LET(_xlpm.rad,$FO133+1,_xlpm.typ,INDEX($E$20:$E$68,_xlpm.rad),_xlpm.kod,INDEX(AD$19:AD$68,_xlpm.rad),IFERROR(IF(AND(_xlpm.typ="H",_xlpm.kod&lt;&gt;""),UPPER(_xlpm.kod),GL$18),GL$18))</f>
        <v>21</v>
      </c>
      <c r="GM133" s="88" cm="1">
        <f t="array" ref="GM133">_xlfn.LET(_xlpm.rad,$FO133+1,_xlpm.typ,INDEX($E$20:$E$68,_xlpm.rad),_xlpm.kod,INDEX(AE$19:AE$68,_xlpm.rad),IFERROR(IF(AND(_xlpm.typ="H",_xlpm.kod&lt;&gt;""),UPPER(_xlpm.kod),GM$18),GM$18))</f>
        <v>22</v>
      </c>
      <c r="GN133" s="88" cm="1">
        <f t="array" ref="GN133">_xlfn.LET(_xlpm.rad,$FO133+1,_xlpm.typ,INDEX($E$20:$E$68,_xlpm.rad),_xlpm.kod,INDEX(AF$19:AF$68,_xlpm.rad),IFERROR(IF(AND(_xlpm.typ="H",_xlpm.kod&lt;&gt;""),UPPER(_xlpm.kod),GN$18),GN$18))</f>
        <v>23</v>
      </c>
      <c r="GO133" s="88" cm="1">
        <f t="array" ref="GO133">_xlfn.LET(_xlpm.rad,$FO133+1,_xlpm.typ,INDEX($E$20:$E$68,_xlpm.rad),_xlpm.kod,INDEX(AG$19:AG$68,_xlpm.rad),IFERROR(IF(AND(_xlpm.typ="H",_xlpm.kod&lt;&gt;""),UPPER(_xlpm.kod),GO$18),GO$18))</f>
        <v>24</v>
      </c>
      <c r="GP133" s="88" cm="1">
        <f t="array" ref="GP133">_xlfn.LET(_xlpm.rad,$FO133+1,_xlpm.typ,INDEX($E$20:$E$68,_xlpm.rad),_xlpm.kod,INDEX(AH$19:AH$68,_xlpm.rad),IFERROR(IF(AND(_xlpm.typ="H",_xlpm.kod&lt;&gt;""),UPPER(_xlpm.kod),GP$18),GP$18))</f>
        <v>25</v>
      </c>
      <c r="GQ133" s="88" cm="1">
        <f t="array" ref="GQ133">_xlfn.LET(_xlpm.rad,$FO133+1,_xlpm.typ,INDEX($E$20:$E$68,_xlpm.rad),_xlpm.kod,INDEX(AI$19:AI$68,_xlpm.rad),IFERROR(IF(AND(_xlpm.typ="H",_xlpm.kod&lt;&gt;""),UPPER(_xlpm.kod),GQ$18),GQ$18))</f>
        <v>26</v>
      </c>
      <c r="GR133" s="88" cm="1">
        <f t="array" ref="GR133">_xlfn.LET(_xlpm.rad,$FO133+1,_xlpm.typ,INDEX($E$20:$E$68,_xlpm.rad),_xlpm.kod,INDEX(AJ$19:AJ$68,_xlpm.rad),IFERROR(IF(AND(_xlpm.typ="H",_xlpm.kod&lt;&gt;""),UPPER(_xlpm.kod),GR$18),GR$18))</f>
        <v>27</v>
      </c>
      <c r="GS133" s="88" cm="1">
        <f t="array" ref="GS133">_xlfn.LET(_xlpm.rad,$FO133+1,_xlpm.typ,INDEX($E$20:$E$68,_xlpm.rad),_xlpm.kod,INDEX(AK$19:AK$68,_xlpm.rad),IFERROR(IF(AND(_xlpm.typ="H",_xlpm.kod&lt;&gt;""),UPPER(_xlpm.kod),GS$18),GS$18))</f>
        <v>28</v>
      </c>
      <c r="GT133" s="88" cm="1">
        <f t="array" ref="GT133">_xlfn.LET(_xlpm.rad,$FO133+1,_xlpm.typ,INDEX($E$20:$E$68,_xlpm.rad),_xlpm.kod,INDEX(AL$19:AL$68,_xlpm.rad),IFERROR(IF(AND(_xlpm.typ="H",_xlpm.kod&lt;&gt;""),UPPER(_xlpm.kod),GT$18),GT$18))</f>
        <v>29</v>
      </c>
      <c r="GU133" s="88" cm="1">
        <f t="array" ref="GU133">_xlfn.LET(_xlpm.rad,$FO133+1,_xlpm.typ,INDEX($E$20:$E$68,_xlpm.rad),_xlpm.kod,INDEX(AM$19:AM$68,_xlpm.rad),IFERROR(IF(AND(_xlpm.typ="H",_xlpm.kod&lt;&gt;""),UPPER(_xlpm.kod),GU$18),GU$18))</f>
        <v>30</v>
      </c>
    </row>
    <row r="134" spans="7:203" x14ac:dyDescent="0.35">
      <c r="EM134" s="91"/>
      <c r="EN134" s="91"/>
      <c r="FR134" s="88" cm="1">
        <f t="array" ref="FR134">_xlfn.LET(_xlpm.rad,$FO133+1,_xlpm.typ,INDEX($E$20:$E$68,_xlpm.rad),_xlpm.kod,INDEX(J$19:J$68,_xlpm.rad),_xlpm.del,INDEX($F$19:$F$68,_xlpm.rad),IFERROR(IF(AND(_xlpm.typ="H",_xlpm.kod&lt;&gt;"",_xlpm.del&lt;&gt;"Hybrid - Thrust + 2 connections"),INDEX(Hyb_Tech,MATCH(_xlpm.kod,Hyb_Code,0)),FR$72),FR$72))</f>
        <v>1</v>
      </c>
      <c r="FS134" s="88" cm="1">
        <f t="array" ref="FS134">_xlfn.LET(_xlpm.rad,$FO133+1,_xlpm.typ,INDEX($E$20:$E$68,_xlpm.rad),_xlpm.kod,INDEX(K$19:K$68,_xlpm.rad),_xlpm.del,INDEX($F$19:$F$68,_xlpm.rad),IFERROR(IF(AND(_xlpm.typ="H",_xlpm.kod&lt;&gt;"",_xlpm.del&lt;&gt;"Hybrid - Thrust + 2 connections"),INDEX(Hyb_Tech,MATCH(_xlpm.kod,Hyb_Code,0)),FS$72),FS$72))</f>
        <v>2</v>
      </c>
      <c r="FT134" s="88" cm="1">
        <f t="array" ref="FT134">_xlfn.LET(_xlpm.rad,$FO133+1,_xlpm.typ,INDEX($E$20:$E$68,_xlpm.rad),_xlpm.kod,INDEX(L$19:L$68,_xlpm.rad),_xlpm.del,INDEX($F$19:$F$68,_xlpm.rad),IFERROR(IF(AND(_xlpm.typ="H",_xlpm.kod&lt;&gt;"",_xlpm.del&lt;&gt;"Hybrid - Thrust + 2 connections"),INDEX(Hyb_Tech,MATCH(_xlpm.kod,Hyb_Code,0)),FT$72),FT$72))</f>
        <v>3</v>
      </c>
      <c r="FU134" s="88" cm="1">
        <f t="array" ref="FU134">_xlfn.LET(_xlpm.rad,$FO133+1,_xlpm.typ,INDEX($E$20:$E$68,_xlpm.rad),_xlpm.kod,INDEX(M$19:M$68,_xlpm.rad),_xlpm.del,INDEX($F$19:$F$68,_xlpm.rad),IFERROR(IF(AND(_xlpm.typ="H",_xlpm.kod&lt;&gt;"",_xlpm.del&lt;&gt;"Hybrid - Thrust + 2 connections"),INDEX(Hyb_Tech,MATCH(_xlpm.kod,Hyb_Code,0)),FU$72),FU$72))</f>
        <v>4</v>
      </c>
      <c r="FV134" s="88" cm="1">
        <f t="array" ref="FV134">_xlfn.LET(_xlpm.rad,$FO133+1,_xlpm.typ,INDEX($E$20:$E$68,_xlpm.rad),_xlpm.kod,INDEX(N$19:N$68,_xlpm.rad),_xlpm.del,INDEX($F$19:$F$68,_xlpm.rad),IFERROR(IF(AND(_xlpm.typ="H",_xlpm.kod&lt;&gt;"",_xlpm.del&lt;&gt;"Hybrid - Thrust + 2 connections"),INDEX(Hyb_Tech,MATCH(_xlpm.kod,Hyb_Code,0)),FV$72),FV$72))</f>
        <v>5</v>
      </c>
      <c r="FW134" s="88" cm="1">
        <f t="array" ref="FW134">_xlfn.LET(_xlpm.rad,$FO133+1,_xlpm.typ,INDEX($E$20:$E$68,_xlpm.rad),_xlpm.kod,INDEX(O$19:O$68,_xlpm.rad),_xlpm.del,INDEX($F$19:$F$68,_xlpm.rad),IFERROR(IF(AND(_xlpm.typ="H",_xlpm.kod&lt;&gt;"",_xlpm.del&lt;&gt;"Hybrid - Thrust + 2 connections"),INDEX(Hyb_Tech,MATCH(_xlpm.kod,Hyb_Code,0)),FW$72),FW$72))</f>
        <v>6</v>
      </c>
      <c r="FX134" s="88" cm="1">
        <f t="array" ref="FX134">_xlfn.LET(_xlpm.rad,$FO133+1,_xlpm.typ,INDEX($E$20:$E$68,_xlpm.rad),_xlpm.kod,INDEX(P$19:P$68,_xlpm.rad),_xlpm.del,INDEX($F$19:$F$68,_xlpm.rad),IFERROR(IF(AND(_xlpm.typ="H",_xlpm.kod&lt;&gt;"",_xlpm.del&lt;&gt;"Hybrid - Thrust + 2 connections"),INDEX(Hyb_Tech,MATCH(_xlpm.kod,Hyb_Code,0)),FX$72),FX$72))</f>
        <v>7</v>
      </c>
      <c r="FY134" s="88" cm="1">
        <f t="array" ref="FY134">_xlfn.LET(_xlpm.rad,$FO133+1,_xlpm.typ,INDEX($E$20:$E$68,_xlpm.rad),_xlpm.kod,INDEX(Q$19:Q$68,_xlpm.rad),_xlpm.del,INDEX($F$19:$F$68,_xlpm.rad),IFERROR(IF(AND(_xlpm.typ="H",_xlpm.kod&lt;&gt;"",_xlpm.del&lt;&gt;"Hybrid - Thrust + 2 connections"),INDEX(Hyb_Tech,MATCH(_xlpm.kod,Hyb_Code,0)),FY$72),FY$72))</f>
        <v>8</v>
      </c>
      <c r="FZ134" s="88" cm="1">
        <f t="array" ref="FZ134">_xlfn.LET(_xlpm.rad,$FO133+1,_xlpm.typ,INDEX($E$20:$E$68,_xlpm.rad),_xlpm.kod,INDEX(R$19:R$68,_xlpm.rad),_xlpm.del,INDEX($F$19:$F$68,_xlpm.rad),IFERROR(IF(AND(_xlpm.typ="H",_xlpm.kod&lt;&gt;"",_xlpm.del&lt;&gt;"Hybrid - Thrust + 2 connections"),INDEX(Hyb_Tech,MATCH(_xlpm.kod,Hyb_Code,0)),FZ$72),FZ$72))</f>
        <v>9</v>
      </c>
      <c r="GA134" s="88" cm="1">
        <f t="array" ref="GA134">_xlfn.LET(_xlpm.rad,$FO133+1,_xlpm.typ,INDEX($E$20:$E$68,_xlpm.rad),_xlpm.kod,INDEX(S$19:S$68,_xlpm.rad),_xlpm.del,INDEX($F$19:$F$68,_xlpm.rad),IFERROR(IF(AND(_xlpm.typ="H",_xlpm.kod&lt;&gt;"",_xlpm.del&lt;&gt;"Hybrid - Thrust + 2 connections"),INDEX(Hyb_Tech,MATCH(_xlpm.kod,Hyb_Code,0)),GA$72),GA$72))</f>
        <v>10</v>
      </c>
      <c r="GB134" s="88" cm="1">
        <f t="array" ref="GB134">_xlfn.LET(_xlpm.rad,$FO133+1,_xlpm.typ,INDEX($E$20:$E$68,_xlpm.rad),_xlpm.kod,INDEX(T$19:T$68,_xlpm.rad),_xlpm.del,INDEX($F$19:$F$68,_xlpm.rad),IFERROR(IF(AND(_xlpm.typ="H",_xlpm.kod&lt;&gt;"",_xlpm.del&lt;&gt;"Hybrid - Thrust + 2 connections"),INDEX(Hyb_Tech,MATCH(_xlpm.kod,Hyb_Code,0)),GB$72),GB$72))</f>
        <v>11</v>
      </c>
      <c r="GC134" s="88" cm="1">
        <f t="array" ref="GC134">_xlfn.LET(_xlpm.rad,$FO133+1,_xlpm.typ,INDEX($E$20:$E$68,_xlpm.rad),_xlpm.kod,INDEX(U$19:U$68,_xlpm.rad),_xlpm.del,INDEX($F$19:$F$68,_xlpm.rad),IFERROR(IF(AND(_xlpm.typ="H",_xlpm.kod&lt;&gt;"",_xlpm.del&lt;&gt;"Hybrid - Thrust + 2 connections"),INDEX(Hyb_Tech,MATCH(_xlpm.kod,Hyb_Code,0)),GC$72),GC$72))</f>
        <v>12</v>
      </c>
      <c r="GD134" s="88" cm="1">
        <f t="array" ref="GD134">_xlfn.LET(_xlpm.rad,$FO133+1,_xlpm.typ,INDEX($E$20:$E$68,_xlpm.rad),_xlpm.kod,INDEX(V$19:V$68,_xlpm.rad),_xlpm.del,INDEX($F$19:$F$68,_xlpm.rad),IFERROR(IF(AND(_xlpm.typ="H",_xlpm.kod&lt;&gt;"",_xlpm.del&lt;&gt;"Hybrid - Thrust + 2 connections"),INDEX(Hyb_Tech,MATCH(_xlpm.kod,Hyb_Code,0)),GD$72),GD$72))</f>
        <v>13</v>
      </c>
      <c r="GE134" s="88" cm="1">
        <f t="array" ref="GE134">_xlfn.LET(_xlpm.rad,$FO133+1,_xlpm.typ,INDEX($E$20:$E$68,_xlpm.rad),_xlpm.kod,INDEX(W$19:W$68,_xlpm.rad),_xlpm.del,INDEX($F$19:$F$68,_xlpm.rad),IFERROR(IF(AND(_xlpm.typ="H",_xlpm.kod&lt;&gt;"",_xlpm.del&lt;&gt;"Hybrid - Thrust + 2 connections"),INDEX(Hyb_Tech,MATCH(_xlpm.kod,Hyb_Code,0)),GE$72),GE$72))</f>
        <v>14</v>
      </c>
      <c r="GF134" s="88" cm="1">
        <f t="array" ref="GF134">_xlfn.LET(_xlpm.rad,$FO133+1,_xlpm.typ,INDEX($E$20:$E$68,_xlpm.rad),_xlpm.kod,INDEX(X$19:X$68,_xlpm.rad),_xlpm.del,INDEX($F$19:$F$68,_xlpm.rad),IFERROR(IF(AND(_xlpm.typ="H",_xlpm.kod&lt;&gt;"",_xlpm.del&lt;&gt;"Hybrid - Thrust + 2 connections"),INDEX(Hyb_Tech,MATCH(_xlpm.kod,Hyb_Code,0)),GF$72),GF$72))</f>
        <v>15</v>
      </c>
      <c r="GG134" s="88" cm="1">
        <f t="array" ref="GG134">_xlfn.LET(_xlpm.rad,$FO133+1,_xlpm.typ,INDEX($E$20:$E$68,_xlpm.rad),_xlpm.kod,INDEX(Y$19:Y$68,_xlpm.rad),_xlpm.del,INDEX($F$19:$F$68,_xlpm.rad),IFERROR(IF(AND(_xlpm.typ="H",_xlpm.kod&lt;&gt;"",_xlpm.del&lt;&gt;"Hybrid - Thrust + 2 connections"),INDEX(Hyb_Tech,MATCH(_xlpm.kod,Hyb_Code,0)),GG$72),GG$72))</f>
        <v>16</v>
      </c>
      <c r="GH134" s="88" cm="1">
        <f t="array" ref="GH134">_xlfn.LET(_xlpm.rad,$FO133+1,_xlpm.typ,INDEX($E$20:$E$68,_xlpm.rad),_xlpm.kod,INDEX(Z$19:Z$68,_xlpm.rad),_xlpm.del,INDEX($F$19:$F$68,_xlpm.rad),IFERROR(IF(AND(_xlpm.typ="H",_xlpm.kod&lt;&gt;"",_xlpm.del&lt;&gt;"Hybrid - Thrust + 2 connections"),INDEX(Hyb_Tech,MATCH(_xlpm.kod,Hyb_Code,0)),GH$72),GH$72))</f>
        <v>17</v>
      </c>
      <c r="GI134" s="88" cm="1">
        <f t="array" ref="GI134">_xlfn.LET(_xlpm.rad,$FO133+1,_xlpm.typ,INDEX($E$20:$E$68,_xlpm.rad),_xlpm.kod,INDEX(AA$19:AA$68,_xlpm.rad),_xlpm.del,INDEX($F$19:$F$68,_xlpm.rad),IFERROR(IF(AND(_xlpm.typ="H",_xlpm.kod&lt;&gt;"",_xlpm.del&lt;&gt;"Hybrid - Thrust + 2 connections"),INDEX(Hyb_Tech,MATCH(_xlpm.kod,Hyb_Code,0)),GI$72),GI$72))</f>
        <v>18</v>
      </c>
      <c r="GJ134" s="88" cm="1">
        <f t="array" ref="GJ134">_xlfn.LET(_xlpm.rad,$FO133+1,_xlpm.typ,INDEX($E$20:$E$68,_xlpm.rad),_xlpm.kod,INDEX(AB$19:AB$68,_xlpm.rad),_xlpm.del,INDEX($F$19:$F$68,_xlpm.rad),IFERROR(IF(AND(_xlpm.typ="H",_xlpm.kod&lt;&gt;"",_xlpm.del&lt;&gt;"Hybrid - Thrust + 2 connections"),INDEX(Hyb_Tech,MATCH(_xlpm.kod,Hyb_Code,0)),GJ$72),GJ$72))</f>
        <v>19</v>
      </c>
      <c r="GK134" s="88" cm="1">
        <f t="array" ref="GK134">_xlfn.LET(_xlpm.rad,$FO133+1,_xlpm.typ,INDEX($E$20:$E$68,_xlpm.rad),_xlpm.kod,INDEX(AC$19:AC$68,_xlpm.rad),_xlpm.del,INDEX($F$19:$F$68,_xlpm.rad),IFERROR(IF(AND(_xlpm.typ="H",_xlpm.kod&lt;&gt;"",_xlpm.del&lt;&gt;"Hybrid - Thrust + 2 connections"),INDEX(Hyb_Tech,MATCH(_xlpm.kod,Hyb_Code,0)),GK$72),GK$72))</f>
        <v>20</v>
      </c>
      <c r="GL134" s="88" cm="1">
        <f t="array" ref="GL134">_xlfn.LET(_xlpm.rad,$FO133+1,_xlpm.typ,INDEX($E$20:$E$68,_xlpm.rad),_xlpm.kod,INDEX(AD$19:AD$68,_xlpm.rad),_xlpm.del,INDEX($F$19:$F$68,_xlpm.rad),IFERROR(IF(AND(_xlpm.typ="H",_xlpm.kod&lt;&gt;"",_xlpm.del&lt;&gt;"Hybrid - Thrust + 2 connections"),INDEX(Hyb_Tech,MATCH(_xlpm.kod,Hyb_Code,0)),GL$72),GL$72))</f>
        <v>21</v>
      </c>
      <c r="GM134" s="88" cm="1">
        <f t="array" ref="GM134">_xlfn.LET(_xlpm.rad,$FO133+1,_xlpm.typ,INDEX($E$20:$E$68,_xlpm.rad),_xlpm.kod,INDEX(AE$19:AE$68,_xlpm.rad),_xlpm.del,INDEX($F$19:$F$68,_xlpm.rad),IFERROR(IF(AND(_xlpm.typ="H",_xlpm.kod&lt;&gt;"",_xlpm.del&lt;&gt;"Hybrid - Thrust + 2 connections"),INDEX(Hyb_Tech,MATCH(_xlpm.kod,Hyb_Code,0)),GM$72),GM$72))</f>
        <v>22</v>
      </c>
      <c r="GN134" s="88" cm="1">
        <f t="array" ref="GN134">_xlfn.LET(_xlpm.rad,$FO133+1,_xlpm.typ,INDEX($E$20:$E$68,_xlpm.rad),_xlpm.kod,INDEX(AF$19:AF$68,_xlpm.rad),_xlpm.del,INDEX($F$19:$F$68,_xlpm.rad),IFERROR(IF(AND(_xlpm.typ="H",_xlpm.kod&lt;&gt;"",_xlpm.del&lt;&gt;"Hybrid - Thrust + 2 connections"),INDEX(Hyb_Tech,MATCH(_xlpm.kod,Hyb_Code,0)),GN$72),GN$72))</f>
        <v>23</v>
      </c>
      <c r="GO134" s="88" cm="1">
        <f t="array" ref="GO134">_xlfn.LET(_xlpm.rad,$FO133+1,_xlpm.typ,INDEX($E$20:$E$68,_xlpm.rad),_xlpm.kod,INDEX(AG$19:AG$68,_xlpm.rad),_xlpm.del,INDEX($F$19:$F$68,_xlpm.rad),IFERROR(IF(AND(_xlpm.typ="H",_xlpm.kod&lt;&gt;"",_xlpm.del&lt;&gt;"Hybrid - Thrust + 2 connections"),INDEX(Hyb_Tech,MATCH(_xlpm.kod,Hyb_Code,0)),GO$72),GO$72))</f>
        <v>24</v>
      </c>
      <c r="GP134" s="88" cm="1">
        <f t="array" ref="GP134">_xlfn.LET(_xlpm.rad,$FO133+1,_xlpm.typ,INDEX($E$20:$E$68,_xlpm.rad),_xlpm.kod,INDEX(AH$19:AH$68,_xlpm.rad),_xlpm.del,INDEX($F$19:$F$68,_xlpm.rad),IFERROR(IF(AND(_xlpm.typ="H",_xlpm.kod&lt;&gt;"",_xlpm.del&lt;&gt;"Hybrid - Thrust + 2 connections"),INDEX(Hyb_Tech,MATCH(_xlpm.kod,Hyb_Code,0)),GP$72),GP$72))</f>
        <v>25</v>
      </c>
      <c r="GQ134" s="88" cm="1">
        <f t="array" ref="GQ134">_xlfn.LET(_xlpm.rad,$FO133+1,_xlpm.typ,INDEX($E$20:$E$68,_xlpm.rad),_xlpm.kod,INDEX(AI$19:AI$68,_xlpm.rad),_xlpm.del,INDEX($F$19:$F$68,_xlpm.rad),IFERROR(IF(AND(_xlpm.typ="H",_xlpm.kod&lt;&gt;"",_xlpm.del&lt;&gt;"Hybrid - Thrust + 2 connections"),INDEX(Hyb_Tech,MATCH(_xlpm.kod,Hyb_Code,0)),GQ$72),GQ$72))</f>
        <v>26</v>
      </c>
      <c r="GR134" s="88" cm="1">
        <f t="array" ref="GR134">_xlfn.LET(_xlpm.rad,$FO133+1,_xlpm.typ,INDEX($E$20:$E$68,_xlpm.rad),_xlpm.kod,INDEX(AJ$19:AJ$68,_xlpm.rad),_xlpm.del,INDEX($F$19:$F$68,_xlpm.rad),IFERROR(IF(AND(_xlpm.typ="H",_xlpm.kod&lt;&gt;"",_xlpm.del&lt;&gt;"Hybrid - Thrust + 2 connections"),INDEX(Hyb_Tech,MATCH(_xlpm.kod,Hyb_Code,0)),GR$72),GR$72))</f>
        <v>27</v>
      </c>
      <c r="GS134" s="88" cm="1">
        <f t="array" ref="GS134">_xlfn.LET(_xlpm.rad,$FO133+1,_xlpm.typ,INDEX($E$20:$E$68,_xlpm.rad),_xlpm.kod,INDEX(AK$19:AK$68,_xlpm.rad),_xlpm.del,INDEX($F$19:$F$68,_xlpm.rad),IFERROR(IF(AND(_xlpm.typ="H",_xlpm.kod&lt;&gt;"",_xlpm.del&lt;&gt;"Hybrid - Thrust + 2 connections"),INDEX(Hyb_Tech,MATCH(_xlpm.kod,Hyb_Code,0)),GS$72),GS$72))</f>
        <v>28</v>
      </c>
      <c r="GT134" s="88" cm="1">
        <f t="array" ref="GT134">_xlfn.LET(_xlpm.rad,$FO133+1,_xlpm.typ,INDEX($E$20:$E$68,_xlpm.rad),_xlpm.kod,INDEX(AL$19:AL$68,_xlpm.rad),_xlpm.del,INDEX($F$19:$F$68,_xlpm.rad),IFERROR(IF(AND(_xlpm.typ="H",_xlpm.kod&lt;&gt;"",_xlpm.del&lt;&gt;"Hybrid - Thrust + 2 connections"),INDEX(Hyb_Tech,MATCH(_xlpm.kod,Hyb_Code,0)),GT$72),GT$72))</f>
        <v>29</v>
      </c>
      <c r="GU134" s="88" cm="1">
        <f t="array" ref="GU134">_xlfn.LET(_xlpm.rad,$FO133+1,_xlpm.typ,INDEX($E$20:$E$68,_xlpm.rad),_xlpm.kod,INDEX(AM$19:AM$68,_xlpm.rad),_xlpm.del,INDEX($F$19:$F$68,_xlpm.rad),IFERROR(IF(AND(_xlpm.typ="H",_xlpm.kod&lt;&gt;"",_xlpm.del&lt;&gt;"Hybrid - Thrust + 2 connections"),INDEX(Hyb_Tech,MATCH(_xlpm.kod,Hyb_Code,0)),GU$72),GU$72))</f>
        <v>30</v>
      </c>
    </row>
    <row r="135" spans="7:203" x14ac:dyDescent="0.35">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P135" s="91" t="str" cm="1">
        <f t="array" ref="FP135">IFERROR(IF($T$5="",IF(COUNTIF(FR135:GU135,1)&gt;$FP$18,INDEX($FR$73:$GU$170,$FO133*5/2+1,MATCH(1,FR135:GU135,0)),""),IF(SUM(FR135:GU135)&gt;2,INDEX($FR$73:$GU$170,$FO133*5/2+1,MATCH(1,FR135:GU135,0)),"")),"")</f>
        <v/>
      </c>
      <c r="FQ135" s="88" t="str" cm="1">
        <f t="array" ref="FQ135">IFERROR(IF(LEFT(FP135,1)="C",IF(RIGHT(FP135,1)="+",LEFT(FP135,LEN(FP135)-1),CONCATENATE(FP135,"+")),IF(SUM($FR135:$GU135)&gt;$FP$18,INDEX($FR$73:$GU$170,$FO133*5/2+1,MATCH(0.5,FR135:GU135,0)),"")),"")</f>
        <v/>
      </c>
      <c r="FR135" s="88" t="str">
        <f t="shared" ref="FR135:GU135" si="3392">IF(AND($BV$6="D",LEFT(FR133,1)="C"),IF(COUNTIF($FR134:$GU134,FR134)&gt;$FP$18,INDEX(Hyb_Tech_Value,MATCH(FR133,Hyb_Code,0)),""),IF(COUNTIF($FR134:$GU134,FR134)&gt;$FP$18,INDEX(Hyb_Tech_Value,MATCH(FR133,Hyb_Code,0)),""))</f>
        <v/>
      </c>
      <c r="FS135" s="88" t="str">
        <f t="shared" si="3392"/>
        <v/>
      </c>
      <c r="FT135" s="88" t="str">
        <f t="shared" si="3392"/>
        <v/>
      </c>
      <c r="FU135" s="88" t="str">
        <f t="shared" si="3392"/>
        <v/>
      </c>
      <c r="FV135" s="88" t="str">
        <f t="shared" si="3392"/>
        <v/>
      </c>
      <c r="FW135" s="88" t="str">
        <f t="shared" si="3392"/>
        <v/>
      </c>
      <c r="FX135" s="88" t="str">
        <f t="shared" si="3392"/>
        <v/>
      </c>
      <c r="FY135" s="88" t="str">
        <f t="shared" si="3392"/>
        <v/>
      </c>
      <c r="FZ135" s="88" t="str">
        <f t="shared" si="3392"/>
        <v/>
      </c>
      <c r="GA135" s="88" t="str">
        <f t="shared" si="3392"/>
        <v/>
      </c>
      <c r="GB135" s="88" t="str">
        <f t="shared" si="3392"/>
        <v/>
      </c>
      <c r="GC135" s="88" t="str">
        <f t="shared" si="3392"/>
        <v/>
      </c>
      <c r="GD135" s="88" t="str">
        <f t="shared" si="3392"/>
        <v/>
      </c>
      <c r="GE135" s="88" t="str">
        <f t="shared" si="3392"/>
        <v/>
      </c>
      <c r="GF135" s="88" t="str">
        <f t="shared" si="3392"/>
        <v/>
      </c>
      <c r="GG135" s="88" t="str">
        <f t="shared" si="3392"/>
        <v/>
      </c>
      <c r="GH135" s="88" t="str">
        <f t="shared" si="3392"/>
        <v/>
      </c>
      <c r="GI135" s="88" t="str">
        <f t="shared" si="3392"/>
        <v/>
      </c>
      <c r="GJ135" s="88" t="str">
        <f t="shared" si="3392"/>
        <v/>
      </c>
      <c r="GK135" s="88" t="str">
        <f t="shared" si="3392"/>
        <v/>
      </c>
      <c r="GL135" s="88" t="str">
        <f t="shared" si="3392"/>
        <v/>
      </c>
      <c r="GM135" s="88" t="str">
        <f t="shared" si="3392"/>
        <v/>
      </c>
      <c r="GN135" s="88" t="str">
        <f t="shared" si="3392"/>
        <v/>
      </c>
      <c r="GO135" s="88" t="str">
        <f t="shared" si="3392"/>
        <v/>
      </c>
      <c r="GP135" s="88" t="str">
        <f t="shared" si="3392"/>
        <v/>
      </c>
      <c r="GQ135" s="88" t="str">
        <f t="shared" si="3392"/>
        <v/>
      </c>
      <c r="GR135" s="88" t="str">
        <f t="shared" si="3392"/>
        <v/>
      </c>
      <c r="GS135" s="88" t="str">
        <f t="shared" si="3392"/>
        <v/>
      </c>
      <c r="GT135" s="88" t="str">
        <f t="shared" si="3392"/>
        <v/>
      </c>
      <c r="GU135" s="88" t="str">
        <f t="shared" si="3392"/>
        <v/>
      </c>
    </row>
    <row r="136" spans="7:203" x14ac:dyDescent="0.35">
      <c r="EM136" s="91"/>
      <c r="EN136" s="91"/>
      <c r="FQ136" s="88"/>
      <c r="FR136" s="88" t="str">
        <f t="shared" ref="FR136:GU136" si="3393">IFERROR(IF(LEFT(FR133,FIND("*",FR133)-1)=LEFT($FQ$73,FIND("*",$FQ$73)-1),0.5,""),"")</f>
        <v/>
      </c>
      <c r="FS136" s="88" t="str">
        <f t="shared" si="3393"/>
        <v/>
      </c>
      <c r="FT136" s="88" t="str">
        <f t="shared" si="3393"/>
        <v/>
      </c>
      <c r="FU136" s="88" t="str">
        <f t="shared" si="3393"/>
        <v/>
      </c>
      <c r="FV136" s="88" t="str">
        <f t="shared" si="3393"/>
        <v/>
      </c>
      <c r="FW136" s="88" t="str">
        <f t="shared" si="3393"/>
        <v/>
      </c>
      <c r="FX136" s="88" t="str">
        <f t="shared" si="3393"/>
        <v/>
      </c>
      <c r="FY136" s="88" t="str">
        <f t="shared" si="3393"/>
        <v/>
      </c>
      <c r="FZ136" s="88" t="str">
        <f t="shared" si="3393"/>
        <v/>
      </c>
      <c r="GA136" s="88" t="str">
        <f t="shared" si="3393"/>
        <v/>
      </c>
      <c r="GB136" s="88" t="str">
        <f t="shared" si="3393"/>
        <v/>
      </c>
      <c r="GC136" s="88" t="str">
        <f t="shared" si="3393"/>
        <v/>
      </c>
      <c r="GD136" s="88" t="str">
        <f t="shared" si="3393"/>
        <v/>
      </c>
      <c r="GE136" s="88" t="str">
        <f t="shared" si="3393"/>
        <v/>
      </c>
      <c r="GF136" s="88" t="str">
        <f t="shared" si="3393"/>
        <v/>
      </c>
      <c r="GG136" s="88" t="str">
        <f t="shared" si="3393"/>
        <v/>
      </c>
      <c r="GH136" s="88" t="str">
        <f t="shared" si="3393"/>
        <v/>
      </c>
      <c r="GI136" s="88" t="str">
        <f t="shared" si="3393"/>
        <v/>
      </c>
      <c r="GJ136" s="88" t="str">
        <f t="shared" si="3393"/>
        <v/>
      </c>
      <c r="GK136" s="88" t="str">
        <f t="shared" si="3393"/>
        <v/>
      </c>
      <c r="GL136" s="88" t="str">
        <f t="shared" si="3393"/>
        <v/>
      </c>
      <c r="GM136" s="88" t="str">
        <f t="shared" si="3393"/>
        <v/>
      </c>
      <c r="GN136" s="88" t="str">
        <f t="shared" si="3393"/>
        <v/>
      </c>
      <c r="GO136" s="88" t="str">
        <f t="shared" si="3393"/>
        <v/>
      </c>
      <c r="GP136" s="88" t="str">
        <f t="shared" si="3393"/>
        <v/>
      </c>
      <c r="GQ136" s="88" t="str">
        <f t="shared" si="3393"/>
        <v/>
      </c>
      <c r="GR136" s="88" t="str">
        <f t="shared" si="3393"/>
        <v/>
      </c>
      <c r="GS136" s="88" t="str">
        <f t="shared" si="3393"/>
        <v/>
      </c>
      <c r="GT136" s="88" t="str">
        <f t="shared" si="3393"/>
        <v/>
      </c>
      <c r="GU136" s="88" t="str">
        <f t="shared" si="3393"/>
        <v/>
      </c>
    </row>
    <row r="137" spans="7:203" x14ac:dyDescent="0.35">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Q137" s="88"/>
      <c r="FR137" s="88"/>
      <c r="FS137" s="88"/>
      <c r="FT137" s="88"/>
      <c r="FU137" s="88"/>
      <c r="FV137" s="88"/>
      <c r="FW137" s="88"/>
      <c r="FX137" s="88"/>
      <c r="FY137" s="88"/>
      <c r="FZ137" s="88"/>
      <c r="GA137" s="88"/>
      <c r="GB137" s="88"/>
      <c r="GC137" s="88"/>
      <c r="GD137" s="88"/>
      <c r="GE137" s="88"/>
      <c r="GF137" s="88"/>
      <c r="GG137" s="88"/>
      <c r="GH137" s="88"/>
      <c r="GI137" s="88"/>
      <c r="GJ137" s="88"/>
      <c r="GK137" s="88"/>
      <c r="GL137" s="88"/>
      <c r="GM137" s="88"/>
      <c r="GN137" s="88"/>
      <c r="GO137" s="88"/>
      <c r="GP137" s="88"/>
      <c r="GQ137" s="88"/>
      <c r="GR137" s="88"/>
      <c r="GS137" s="88"/>
      <c r="GT137" s="88"/>
      <c r="GU137" s="88"/>
    </row>
    <row r="138" spans="7:203" x14ac:dyDescent="0.35">
      <c r="EM138" s="91"/>
      <c r="EN138" s="91"/>
      <c r="FO138" s="91">
        <v>26</v>
      </c>
      <c r="FP138" s="88" t="str">
        <f t="shared" ref="FP138" si="3394">IF(SUM(FR141:GU141)&gt;2,FQ138,"")</f>
        <v/>
      </c>
      <c r="FQ138" s="88" t="str" cm="1">
        <f t="array" ref="FQ138">IF(SUM(FR140:GU140)&gt;0,_xlfn.LET(_xlpm.area,FR138:GU138,_xlpm.texts,_xlfn.UNIQUE(_xlfn._xlws.FILTER(_xlpm.area,_xlpm.area&lt;&gt;"")),_xlpm.number,COUNTIF(_xlpm.area,_xlpm.texts),INDEX(_xlpm.texts,MATCH(MAX(_xlpm.number),_xlpm.number,0))),"")</f>
        <v/>
      </c>
      <c r="FR138" s="88" cm="1">
        <f t="array" ref="FR138">_xlfn.LET(_xlpm.rad,$FO138+1,_xlpm.typ,INDEX($E$20:$E$68,_xlpm.rad),_xlpm.kod,INDEX(J$19:J$68,_xlpm.rad),IFERROR(IF(AND(_xlpm.typ="H",_xlpm.kod&lt;&gt;""),UPPER(_xlpm.kod),FR$18),FR$18))</f>
        <v>1</v>
      </c>
      <c r="FS138" s="88" cm="1">
        <f t="array" ref="FS138">_xlfn.LET(_xlpm.rad,$FO138+1,_xlpm.typ,INDEX($E$20:$E$68,_xlpm.rad),_xlpm.kod,INDEX(K$19:K$68,_xlpm.rad),IFERROR(IF(AND(_xlpm.typ="H",_xlpm.kod&lt;&gt;""),UPPER(_xlpm.kod),FS$18),FS$18))</f>
        <v>2</v>
      </c>
      <c r="FT138" s="88" cm="1">
        <f t="array" ref="FT138">_xlfn.LET(_xlpm.rad,$FO138+1,_xlpm.typ,INDEX($E$20:$E$68,_xlpm.rad),_xlpm.kod,INDEX(L$19:L$68,_xlpm.rad),IFERROR(IF(AND(_xlpm.typ="H",_xlpm.kod&lt;&gt;""),UPPER(_xlpm.kod),FT$18),FT$18))</f>
        <v>3</v>
      </c>
      <c r="FU138" s="88" cm="1">
        <f t="array" ref="FU138">_xlfn.LET(_xlpm.rad,$FO138+1,_xlpm.typ,INDEX($E$20:$E$68,_xlpm.rad),_xlpm.kod,INDEX(M$19:M$68,_xlpm.rad),IFERROR(IF(AND(_xlpm.typ="H",_xlpm.kod&lt;&gt;""),UPPER(_xlpm.kod),FU$18),FU$18))</f>
        <v>4</v>
      </c>
      <c r="FV138" s="88" cm="1">
        <f t="array" ref="FV138">_xlfn.LET(_xlpm.rad,$FO138+1,_xlpm.typ,INDEX($E$20:$E$68,_xlpm.rad),_xlpm.kod,INDEX(N$19:N$68,_xlpm.rad),IFERROR(IF(AND(_xlpm.typ="H",_xlpm.kod&lt;&gt;""),UPPER(_xlpm.kod),FV$18),FV$18))</f>
        <v>5</v>
      </c>
      <c r="FW138" s="88" cm="1">
        <f t="array" ref="FW138">_xlfn.LET(_xlpm.rad,$FO138+1,_xlpm.typ,INDEX($E$20:$E$68,_xlpm.rad),_xlpm.kod,INDEX(O$19:O$68,_xlpm.rad),IFERROR(IF(AND(_xlpm.typ="H",_xlpm.kod&lt;&gt;""),UPPER(_xlpm.kod),FW$18),FW$18))</f>
        <v>6</v>
      </c>
      <c r="FX138" s="88" cm="1">
        <f t="array" ref="FX138">_xlfn.LET(_xlpm.rad,$FO138+1,_xlpm.typ,INDEX($E$20:$E$68,_xlpm.rad),_xlpm.kod,INDEX(P$19:P$68,_xlpm.rad),IFERROR(IF(AND(_xlpm.typ="H",_xlpm.kod&lt;&gt;""),UPPER(_xlpm.kod),FX$18),FX$18))</f>
        <v>7</v>
      </c>
      <c r="FY138" s="88" cm="1">
        <f t="array" ref="FY138">_xlfn.LET(_xlpm.rad,$FO138+1,_xlpm.typ,INDEX($E$20:$E$68,_xlpm.rad),_xlpm.kod,INDEX(Q$19:Q$68,_xlpm.rad),IFERROR(IF(AND(_xlpm.typ="H",_xlpm.kod&lt;&gt;""),UPPER(_xlpm.kod),FY$18),FY$18))</f>
        <v>8</v>
      </c>
      <c r="FZ138" s="88" cm="1">
        <f t="array" ref="FZ138">_xlfn.LET(_xlpm.rad,$FO138+1,_xlpm.typ,INDEX($E$20:$E$68,_xlpm.rad),_xlpm.kod,INDEX(R$19:R$68,_xlpm.rad),IFERROR(IF(AND(_xlpm.typ="H",_xlpm.kod&lt;&gt;""),UPPER(_xlpm.kod),FZ$18),FZ$18))</f>
        <v>9</v>
      </c>
      <c r="GA138" s="88" cm="1">
        <f t="array" ref="GA138">_xlfn.LET(_xlpm.rad,$FO138+1,_xlpm.typ,INDEX($E$20:$E$68,_xlpm.rad),_xlpm.kod,INDEX(S$19:S$68,_xlpm.rad),IFERROR(IF(AND(_xlpm.typ="H",_xlpm.kod&lt;&gt;""),UPPER(_xlpm.kod),GA$18),GA$18))</f>
        <v>10</v>
      </c>
      <c r="GB138" s="88" cm="1">
        <f t="array" ref="GB138">_xlfn.LET(_xlpm.rad,$FO138+1,_xlpm.typ,INDEX($E$20:$E$68,_xlpm.rad),_xlpm.kod,INDEX(T$19:T$68,_xlpm.rad),IFERROR(IF(AND(_xlpm.typ="H",_xlpm.kod&lt;&gt;""),UPPER(_xlpm.kod),GB$18),GB$18))</f>
        <v>11</v>
      </c>
      <c r="GC138" s="88" cm="1">
        <f t="array" ref="GC138">_xlfn.LET(_xlpm.rad,$FO138+1,_xlpm.typ,INDEX($E$20:$E$68,_xlpm.rad),_xlpm.kod,INDEX(U$19:U$68,_xlpm.rad),IFERROR(IF(AND(_xlpm.typ="H",_xlpm.kod&lt;&gt;""),UPPER(_xlpm.kod),GC$18),GC$18))</f>
        <v>12</v>
      </c>
      <c r="GD138" s="88" cm="1">
        <f t="array" ref="GD138">_xlfn.LET(_xlpm.rad,$FO138+1,_xlpm.typ,INDEX($E$20:$E$68,_xlpm.rad),_xlpm.kod,INDEX(V$19:V$68,_xlpm.rad),IFERROR(IF(AND(_xlpm.typ="H",_xlpm.kod&lt;&gt;""),UPPER(_xlpm.kod),GD$18),GD$18))</f>
        <v>13</v>
      </c>
      <c r="GE138" s="88" cm="1">
        <f t="array" ref="GE138">_xlfn.LET(_xlpm.rad,$FO138+1,_xlpm.typ,INDEX($E$20:$E$68,_xlpm.rad),_xlpm.kod,INDEX(W$19:W$68,_xlpm.rad),IFERROR(IF(AND(_xlpm.typ="H",_xlpm.kod&lt;&gt;""),UPPER(_xlpm.kod),GE$18),GE$18))</f>
        <v>14</v>
      </c>
      <c r="GF138" s="88" cm="1">
        <f t="array" ref="GF138">_xlfn.LET(_xlpm.rad,$FO138+1,_xlpm.typ,INDEX($E$20:$E$68,_xlpm.rad),_xlpm.kod,INDEX(X$19:X$68,_xlpm.rad),IFERROR(IF(AND(_xlpm.typ="H",_xlpm.kod&lt;&gt;""),UPPER(_xlpm.kod),GF$18),GF$18))</f>
        <v>15</v>
      </c>
      <c r="GG138" s="88" cm="1">
        <f t="array" ref="GG138">_xlfn.LET(_xlpm.rad,$FO138+1,_xlpm.typ,INDEX($E$20:$E$68,_xlpm.rad),_xlpm.kod,INDEX(Y$19:Y$68,_xlpm.rad),IFERROR(IF(AND(_xlpm.typ="H",_xlpm.kod&lt;&gt;""),UPPER(_xlpm.kod),GG$18),GG$18))</f>
        <v>16</v>
      </c>
      <c r="GH138" s="88" cm="1">
        <f t="array" ref="GH138">_xlfn.LET(_xlpm.rad,$FO138+1,_xlpm.typ,INDEX($E$20:$E$68,_xlpm.rad),_xlpm.kod,INDEX(Z$19:Z$68,_xlpm.rad),IFERROR(IF(AND(_xlpm.typ="H",_xlpm.kod&lt;&gt;""),UPPER(_xlpm.kod),GH$18),GH$18))</f>
        <v>17</v>
      </c>
      <c r="GI138" s="88" cm="1">
        <f t="array" ref="GI138">_xlfn.LET(_xlpm.rad,$FO138+1,_xlpm.typ,INDEX($E$20:$E$68,_xlpm.rad),_xlpm.kod,INDEX(AA$19:AA$68,_xlpm.rad),IFERROR(IF(AND(_xlpm.typ="H",_xlpm.kod&lt;&gt;""),UPPER(_xlpm.kod),GI$18),GI$18))</f>
        <v>18</v>
      </c>
      <c r="GJ138" s="88" cm="1">
        <f t="array" ref="GJ138">_xlfn.LET(_xlpm.rad,$FO138+1,_xlpm.typ,INDEX($E$20:$E$68,_xlpm.rad),_xlpm.kod,INDEX(AB$19:AB$68,_xlpm.rad),IFERROR(IF(AND(_xlpm.typ="H",_xlpm.kod&lt;&gt;""),UPPER(_xlpm.kod),GJ$18),GJ$18))</f>
        <v>19</v>
      </c>
      <c r="GK138" s="88" cm="1">
        <f t="array" ref="GK138">_xlfn.LET(_xlpm.rad,$FO138+1,_xlpm.typ,INDEX($E$20:$E$68,_xlpm.rad),_xlpm.kod,INDEX(AC$19:AC$68,_xlpm.rad),IFERROR(IF(AND(_xlpm.typ="H",_xlpm.kod&lt;&gt;""),UPPER(_xlpm.kod),GK$18),GK$18))</f>
        <v>20</v>
      </c>
      <c r="GL138" s="88" cm="1">
        <f t="array" ref="GL138">_xlfn.LET(_xlpm.rad,$FO138+1,_xlpm.typ,INDEX($E$20:$E$68,_xlpm.rad),_xlpm.kod,INDEX(AD$19:AD$68,_xlpm.rad),IFERROR(IF(AND(_xlpm.typ="H",_xlpm.kod&lt;&gt;""),UPPER(_xlpm.kod),GL$18),GL$18))</f>
        <v>21</v>
      </c>
      <c r="GM138" s="88" cm="1">
        <f t="array" ref="GM138">_xlfn.LET(_xlpm.rad,$FO138+1,_xlpm.typ,INDEX($E$20:$E$68,_xlpm.rad),_xlpm.kod,INDEX(AE$19:AE$68,_xlpm.rad),IFERROR(IF(AND(_xlpm.typ="H",_xlpm.kod&lt;&gt;""),UPPER(_xlpm.kod),GM$18),GM$18))</f>
        <v>22</v>
      </c>
      <c r="GN138" s="88" cm="1">
        <f t="array" ref="GN138">_xlfn.LET(_xlpm.rad,$FO138+1,_xlpm.typ,INDEX($E$20:$E$68,_xlpm.rad),_xlpm.kod,INDEX(AF$19:AF$68,_xlpm.rad),IFERROR(IF(AND(_xlpm.typ="H",_xlpm.kod&lt;&gt;""),UPPER(_xlpm.kod),GN$18),GN$18))</f>
        <v>23</v>
      </c>
      <c r="GO138" s="88" cm="1">
        <f t="array" ref="GO138">_xlfn.LET(_xlpm.rad,$FO138+1,_xlpm.typ,INDEX($E$20:$E$68,_xlpm.rad),_xlpm.kod,INDEX(AG$19:AG$68,_xlpm.rad),IFERROR(IF(AND(_xlpm.typ="H",_xlpm.kod&lt;&gt;""),UPPER(_xlpm.kod),GO$18),GO$18))</f>
        <v>24</v>
      </c>
      <c r="GP138" s="88" cm="1">
        <f t="array" ref="GP138">_xlfn.LET(_xlpm.rad,$FO138+1,_xlpm.typ,INDEX($E$20:$E$68,_xlpm.rad),_xlpm.kod,INDEX(AH$19:AH$68,_xlpm.rad),IFERROR(IF(AND(_xlpm.typ="H",_xlpm.kod&lt;&gt;""),UPPER(_xlpm.kod),GP$18),GP$18))</f>
        <v>25</v>
      </c>
      <c r="GQ138" s="88" cm="1">
        <f t="array" ref="GQ138">_xlfn.LET(_xlpm.rad,$FO138+1,_xlpm.typ,INDEX($E$20:$E$68,_xlpm.rad),_xlpm.kod,INDEX(AI$19:AI$68,_xlpm.rad),IFERROR(IF(AND(_xlpm.typ="H",_xlpm.kod&lt;&gt;""),UPPER(_xlpm.kod),GQ$18),GQ$18))</f>
        <v>26</v>
      </c>
      <c r="GR138" s="88" cm="1">
        <f t="array" ref="GR138">_xlfn.LET(_xlpm.rad,$FO138+1,_xlpm.typ,INDEX($E$20:$E$68,_xlpm.rad),_xlpm.kod,INDEX(AJ$19:AJ$68,_xlpm.rad),IFERROR(IF(AND(_xlpm.typ="H",_xlpm.kod&lt;&gt;""),UPPER(_xlpm.kod),GR$18),GR$18))</f>
        <v>27</v>
      </c>
      <c r="GS138" s="88" cm="1">
        <f t="array" ref="GS138">_xlfn.LET(_xlpm.rad,$FO138+1,_xlpm.typ,INDEX($E$20:$E$68,_xlpm.rad),_xlpm.kod,INDEX(AK$19:AK$68,_xlpm.rad),IFERROR(IF(AND(_xlpm.typ="H",_xlpm.kod&lt;&gt;""),UPPER(_xlpm.kod),GS$18),GS$18))</f>
        <v>28</v>
      </c>
      <c r="GT138" s="88" cm="1">
        <f t="array" ref="GT138">_xlfn.LET(_xlpm.rad,$FO138+1,_xlpm.typ,INDEX($E$20:$E$68,_xlpm.rad),_xlpm.kod,INDEX(AL$19:AL$68,_xlpm.rad),IFERROR(IF(AND(_xlpm.typ="H",_xlpm.kod&lt;&gt;""),UPPER(_xlpm.kod),GT$18),GT$18))</f>
        <v>29</v>
      </c>
      <c r="GU138" s="88" cm="1">
        <f t="array" ref="GU138">_xlfn.LET(_xlpm.rad,$FO138+1,_xlpm.typ,INDEX($E$20:$E$68,_xlpm.rad),_xlpm.kod,INDEX(AM$19:AM$68,_xlpm.rad),IFERROR(IF(AND(_xlpm.typ="H",_xlpm.kod&lt;&gt;""),UPPER(_xlpm.kod),GU$18),GU$18))</f>
        <v>30</v>
      </c>
    </row>
    <row r="139" spans="7:203" x14ac:dyDescent="0.35">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R139" s="88" cm="1">
        <f t="array" ref="FR139">_xlfn.LET(_xlpm.rad,$FO138+1,_xlpm.typ,INDEX($E$20:$E$68,_xlpm.rad),_xlpm.kod,INDEX(J$19:J$68,_xlpm.rad),_xlpm.del,INDEX($F$19:$F$68,_xlpm.rad),IFERROR(IF(AND(_xlpm.typ="H",_xlpm.kod&lt;&gt;"",_xlpm.del&lt;&gt;"Hybrid - Thrust + 2 connections"),INDEX(Hyb_Tech,MATCH(_xlpm.kod,Hyb_Code,0)),FR$72),FR$72))</f>
        <v>1</v>
      </c>
      <c r="FS139" s="88" cm="1">
        <f t="array" ref="FS139">_xlfn.LET(_xlpm.rad,$FO138+1,_xlpm.typ,INDEX($E$20:$E$68,_xlpm.rad),_xlpm.kod,INDEX(K$19:K$68,_xlpm.rad),_xlpm.del,INDEX($F$19:$F$68,_xlpm.rad),IFERROR(IF(AND(_xlpm.typ="H",_xlpm.kod&lt;&gt;"",_xlpm.del&lt;&gt;"Hybrid - Thrust + 2 connections"),INDEX(Hyb_Tech,MATCH(_xlpm.kod,Hyb_Code,0)),FS$72),FS$72))</f>
        <v>2</v>
      </c>
      <c r="FT139" s="88" cm="1">
        <f t="array" ref="FT139">_xlfn.LET(_xlpm.rad,$FO138+1,_xlpm.typ,INDEX($E$20:$E$68,_xlpm.rad),_xlpm.kod,INDEX(L$19:L$68,_xlpm.rad),_xlpm.del,INDEX($F$19:$F$68,_xlpm.rad),IFERROR(IF(AND(_xlpm.typ="H",_xlpm.kod&lt;&gt;"",_xlpm.del&lt;&gt;"Hybrid - Thrust + 2 connections"),INDEX(Hyb_Tech,MATCH(_xlpm.kod,Hyb_Code,0)),FT$72),FT$72))</f>
        <v>3</v>
      </c>
      <c r="FU139" s="88" cm="1">
        <f t="array" ref="FU139">_xlfn.LET(_xlpm.rad,$FO138+1,_xlpm.typ,INDEX($E$20:$E$68,_xlpm.rad),_xlpm.kod,INDEX(M$19:M$68,_xlpm.rad),_xlpm.del,INDEX($F$19:$F$68,_xlpm.rad),IFERROR(IF(AND(_xlpm.typ="H",_xlpm.kod&lt;&gt;"",_xlpm.del&lt;&gt;"Hybrid - Thrust + 2 connections"),INDEX(Hyb_Tech,MATCH(_xlpm.kod,Hyb_Code,0)),FU$72),FU$72))</f>
        <v>4</v>
      </c>
      <c r="FV139" s="88" cm="1">
        <f t="array" ref="FV139">_xlfn.LET(_xlpm.rad,$FO138+1,_xlpm.typ,INDEX($E$20:$E$68,_xlpm.rad),_xlpm.kod,INDEX(N$19:N$68,_xlpm.rad),_xlpm.del,INDEX($F$19:$F$68,_xlpm.rad),IFERROR(IF(AND(_xlpm.typ="H",_xlpm.kod&lt;&gt;"",_xlpm.del&lt;&gt;"Hybrid - Thrust + 2 connections"),INDEX(Hyb_Tech,MATCH(_xlpm.kod,Hyb_Code,0)),FV$72),FV$72))</f>
        <v>5</v>
      </c>
      <c r="FW139" s="88" cm="1">
        <f t="array" ref="FW139">_xlfn.LET(_xlpm.rad,$FO138+1,_xlpm.typ,INDEX($E$20:$E$68,_xlpm.rad),_xlpm.kod,INDEX(O$19:O$68,_xlpm.rad),_xlpm.del,INDEX($F$19:$F$68,_xlpm.rad),IFERROR(IF(AND(_xlpm.typ="H",_xlpm.kod&lt;&gt;"",_xlpm.del&lt;&gt;"Hybrid - Thrust + 2 connections"),INDEX(Hyb_Tech,MATCH(_xlpm.kod,Hyb_Code,0)),FW$72),FW$72))</f>
        <v>6</v>
      </c>
      <c r="FX139" s="88" cm="1">
        <f t="array" ref="FX139">_xlfn.LET(_xlpm.rad,$FO138+1,_xlpm.typ,INDEX($E$20:$E$68,_xlpm.rad),_xlpm.kod,INDEX(P$19:P$68,_xlpm.rad),_xlpm.del,INDEX($F$19:$F$68,_xlpm.rad),IFERROR(IF(AND(_xlpm.typ="H",_xlpm.kod&lt;&gt;"",_xlpm.del&lt;&gt;"Hybrid - Thrust + 2 connections"),INDEX(Hyb_Tech,MATCH(_xlpm.kod,Hyb_Code,0)),FX$72),FX$72))</f>
        <v>7</v>
      </c>
      <c r="FY139" s="88" cm="1">
        <f t="array" ref="FY139">_xlfn.LET(_xlpm.rad,$FO138+1,_xlpm.typ,INDEX($E$20:$E$68,_xlpm.rad),_xlpm.kod,INDEX(Q$19:Q$68,_xlpm.rad),_xlpm.del,INDEX($F$19:$F$68,_xlpm.rad),IFERROR(IF(AND(_xlpm.typ="H",_xlpm.kod&lt;&gt;"",_xlpm.del&lt;&gt;"Hybrid - Thrust + 2 connections"),INDEX(Hyb_Tech,MATCH(_xlpm.kod,Hyb_Code,0)),FY$72),FY$72))</f>
        <v>8</v>
      </c>
      <c r="FZ139" s="88" cm="1">
        <f t="array" ref="FZ139">_xlfn.LET(_xlpm.rad,$FO138+1,_xlpm.typ,INDEX($E$20:$E$68,_xlpm.rad),_xlpm.kod,INDEX(R$19:R$68,_xlpm.rad),_xlpm.del,INDEX($F$19:$F$68,_xlpm.rad),IFERROR(IF(AND(_xlpm.typ="H",_xlpm.kod&lt;&gt;"",_xlpm.del&lt;&gt;"Hybrid - Thrust + 2 connections"),INDEX(Hyb_Tech,MATCH(_xlpm.kod,Hyb_Code,0)),FZ$72),FZ$72))</f>
        <v>9</v>
      </c>
      <c r="GA139" s="88" cm="1">
        <f t="array" ref="GA139">_xlfn.LET(_xlpm.rad,$FO138+1,_xlpm.typ,INDEX($E$20:$E$68,_xlpm.rad),_xlpm.kod,INDEX(S$19:S$68,_xlpm.rad),_xlpm.del,INDEX($F$19:$F$68,_xlpm.rad),IFERROR(IF(AND(_xlpm.typ="H",_xlpm.kod&lt;&gt;"",_xlpm.del&lt;&gt;"Hybrid - Thrust + 2 connections"),INDEX(Hyb_Tech,MATCH(_xlpm.kod,Hyb_Code,0)),GA$72),GA$72))</f>
        <v>10</v>
      </c>
      <c r="GB139" s="88" cm="1">
        <f t="array" ref="GB139">_xlfn.LET(_xlpm.rad,$FO138+1,_xlpm.typ,INDEX($E$20:$E$68,_xlpm.rad),_xlpm.kod,INDEX(T$19:T$68,_xlpm.rad),_xlpm.del,INDEX($F$19:$F$68,_xlpm.rad),IFERROR(IF(AND(_xlpm.typ="H",_xlpm.kod&lt;&gt;"",_xlpm.del&lt;&gt;"Hybrid - Thrust + 2 connections"),INDEX(Hyb_Tech,MATCH(_xlpm.kod,Hyb_Code,0)),GB$72),GB$72))</f>
        <v>11</v>
      </c>
      <c r="GC139" s="88" cm="1">
        <f t="array" ref="GC139">_xlfn.LET(_xlpm.rad,$FO138+1,_xlpm.typ,INDEX($E$20:$E$68,_xlpm.rad),_xlpm.kod,INDEX(U$19:U$68,_xlpm.rad),_xlpm.del,INDEX($F$19:$F$68,_xlpm.rad),IFERROR(IF(AND(_xlpm.typ="H",_xlpm.kod&lt;&gt;"",_xlpm.del&lt;&gt;"Hybrid - Thrust + 2 connections"),INDEX(Hyb_Tech,MATCH(_xlpm.kod,Hyb_Code,0)),GC$72),GC$72))</f>
        <v>12</v>
      </c>
      <c r="GD139" s="88" cm="1">
        <f t="array" ref="GD139">_xlfn.LET(_xlpm.rad,$FO138+1,_xlpm.typ,INDEX($E$20:$E$68,_xlpm.rad),_xlpm.kod,INDEX(V$19:V$68,_xlpm.rad),_xlpm.del,INDEX($F$19:$F$68,_xlpm.rad),IFERROR(IF(AND(_xlpm.typ="H",_xlpm.kod&lt;&gt;"",_xlpm.del&lt;&gt;"Hybrid - Thrust + 2 connections"),INDEX(Hyb_Tech,MATCH(_xlpm.kod,Hyb_Code,0)),GD$72),GD$72))</f>
        <v>13</v>
      </c>
      <c r="GE139" s="88" cm="1">
        <f t="array" ref="GE139">_xlfn.LET(_xlpm.rad,$FO138+1,_xlpm.typ,INDEX($E$20:$E$68,_xlpm.rad),_xlpm.kod,INDEX(W$19:W$68,_xlpm.rad),_xlpm.del,INDEX($F$19:$F$68,_xlpm.rad),IFERROR(IF(AND(_xlpm.typ="H",_xlpm.kod&lt;&gt;"",_xlpm.del&lt;&gt;"Hybrid - Thrust + 2 connections"),INDEX(Hyb_Tech,MATCH(_xlpm.kod,Hyb_Code,0)),GE$72),GE$72))</f>
        <v>14</v>
      </c>
      <c r="GF139" s="88" cm="1">
        <f t="array" ref="GF139">_xlfn.LET(_xlpm.rad,$FO138+1,_xlpm.typ,INDEX($E$20:$E$68,_xlpm.rad),_xlpm.kod,INDEX(X$19:X$68,_xlpm.rad),_xlpm.del,INDEX($F$19:$F$68,_xlpm.rad),IFERROR(IF(AND(_xlpm.typ="H",_xlpm.kod&lt;&gt;"",_xlpm.del&lt;&gt;"Hybrid - Thrust + 2 connections"),INDEX(Hyb_Tech,MATCH(_xlpm.kod,Hyb_Code,0)),GF$72),GF$72))</f>
        <v>15</v>
      </c>
      <c r="GG139" s="88" cm="1">
        <f t="array" ref="GG139">_xlfn.LET(_xlpm.rad,$FO138+1,_xlpm.typ,INDEX($E$20:$E$68,_xlpm.rad),_xlpm.kod,INDEX(Y$19:Y$68,_xlpm.rad),_xlpm.del,INDEX($F$19:$F$68,_xlpm.rad),IFERROR(IF(AND(_xlpm.typ="H",_xlpm.kod&lt;&gt;"",_xlpm.del&lt;&gt;"Hybrid - Thrust + 2 connections"),INDEX(Hyb_Tech,MATCH(_xlpm.kod,Hyb_Code,0)),GG$72),GG$72))</f>
        <v>16</v>
      </c>
      <c r="GH139" s="88" cm="1">
        <f t="array" ref="GH139">_xlfn.LET(_xlpm.rad,$FO138+1,_xlpm.typ,INDEX($E$20:$E$68,_xlpm.rad),_xlpm.kod,INDEX(Z$19:Z$68,_xlpm.rad),_xlpm.del,INDEX($F$19:$F$68,_xlpm.rad),IFERROR(IF(AND(_xlpm.typ="H",_xlpm.kod&lt;&gt;"",_xlpm.del&lt;&gt;"Hybrid - Thrust + 2 connections"),INDEX(Hyb_Tech,MATCH(_xlpm.kod,Hyb_Code,0)),GH$72),GH$72))</f>
        <v>17</v>
      </c>
      <c r="GI139" s="88" cm="1">
        <f t="array" ref="GI139">_xlfn.LET(_xlpm.rad,$FO138+1,_xlpm.typ,INDEX($E$20:$E$68,_xlpm.rad),_xlpm.kod,INDEX(AA$19:AA$68,_xlpm.rad),_xlpm.del,INDEX($F$19:$F$68,_xlpm.rad),IFERROR(IF(AND(_xlpm.typ="H",_xlpm.kod&lt;&gt;"",_xlpm.del&lt;&gt;"Hybrid - Thrust + 2 connections"),INDEX(Hyb_Tech,MATCH(_xlpm.kod,Hyb_Code,0)),GI$72),GI$72))</f>
        <v>18</v>
      </c>
      <c r="GJ139" s="88" cm="1">
        <f t="array" ref="GJ139">_xlfn.LET(_xlpm.rad,$FO138+1,_xlpm.typ,INDEX($E$20:$E$68,_xlpm.rad),_xlpm.kod,INDEX(AB$19:AB$68,_xlpm.rad),_xlpm.del,INDEX($F$19:$F$68,_xlpm.rad),IFERROR(IF(AND(_xlpm.typ="H",_xlpm.kod&lt;&gt;"",_xlpm.del&lt;&gt;"Hybrid - Thrust + 2 connections"),INDEX(Hyb_Tech,MATCH(_xlpm.kod,Hyb_Code,0)),GJ$72),GJ$72))</f>
        <v>19</v>
      </c>
      <c r="GK139" s="88" cm="1">
        <f t="array" ref="GK139">_xlfn.LET(_xlpm.rad,$FO138+1,_xlpm.typ,INDEX($E$20:$E$68,_xlpm.rad),_xlpm.kod,INDEX(AC$19:AC$68,_xlpm.rad),_xlpm.del,INDEX($F$19:$F$68,_xlpm.rad),IFERROR(IF(AND(_xlpm.typ="H",_xlpm.kod&lt;&gt;"",_xlpm.del&lt;&gt;"Hybrid - Thrust + 2 connections"),INDEX(Hyb_Tech,MATCH(_xlpm.kod,Hyb_Code,0)),GK$72),GK$72))</f>
        <v>20</v>
      </c>
      <c r="GL139" s="88" cm="1">
        <f t="array" ref="GL139">_xlfn.LET(_xlpm.rad,$FO138+1,_xlpm.typ,INDEX($E$20:$E$68,_xlpm.rad),_xlpm.kod,INDEX(AD$19:AD$68,_xlpm.rad),_xlpm.del,INDEX($F$19:$F$68,_xlpm.rad),IFERROR(IF(AND(_xlpm.typ="H",_xlpm.kod&lt;&gt;"",_xlpm.del&lt;&gt;"Hybrid - Thrust + 2 connections"),INDEX(Hyb_Tech,MATCH(_xlpm.kod,Hyb_Code,0)),GL$72),GL$72))</f>
        <v>21</v>
      </c>
      <c r="GM139" s="88" cm="1">
        <f t="array" ref="GM139">_xlfn.LET(_xlpm.rad,$FO138+1,_xlpm.typ,INDEX($E$20:$E$68,_xlpm.rad),_xlpm.kod,INDEX(AE$19:AE$68,_xlpm.rad),_xlpm.del,INDEX($F$19:$F$68,_xlpm.rad),IFERROR(IF(AND(_xlpm.typ="H",_xlpm.kod&lt;&gt;"",_xlpm.del&lt;&gt;"Hybrid - Thrust + 2 connections"),INDEX(Hyb_Tech,MATCH(_xlpm.kod,Hyb_Code,0)),GM$72),GM$72))</f>
        <v>22</v>
      </c>
      <c r="GN139" s="88" cm="1">
        <f t="array" ref="GN139">_xlfn.LET(_xlpm.rad,$FO138+1,_xlpm.typ,INDEX($E$20:$E$68,_xlpm.rad),_xlpm.kod,INDEX(AF$19:AF$68,_xlpm.rad),_xlpm.del,INDEX($F$19:$F$68,_xlpm.rad),IFERROR(IF(AND(_xlpm.typ="H",_xlpm.kod&lt;&gt;"",_xlpm.del&lt;&gt;"Hybrid - Thrust + 2 connections"),INDEX(Hyb_Tech,MATCH(_xlpm.kod,Hyb_Code,0)),GN$72),GN$72))</f>
        <v>23</v>
      </c>
      <c r="GO139" s="88" cm="1">
        <f t="array" ref="GO139">_xlfn.LET(_xlpm.rad,$FO138+1,_xlpm.typ,INDEX($E$20:$E$68,_xlpm.rad),_xlpm.kod,INDEX(AG$19:AG$68,_xlpm.rad),_xlpm.del,INDEX($F$19:$F$68,_xlpm.rad),IFERROR(IF(AND(_xlpm.typ="H",_xlpm.kod&lt;&gt;"",_xlpm.del&lt;&gt;"Hybrid - Thrust + 2 connections"),INDEX(Hyb_Tech,MATCH(_xlpm.kod,Hyb_Code,0)),GO$72),GO$72))</f>
        <v>24</v>
      </c>
      <c r="GP139" s="88" cm="1">
        <f t="array" ref="GP139">_xlfn.LET(_xlpm.rad,$FO138+1,_xlpm.typ,INDEX($E$20:$E$68,_xlpm.rad),_xlpm.kod,INDEX(AH$19:AH$68,_xlpm.rad),_xlpm.del,INDEX($F$19:$F$68,_xlpm.rad),IFERROR(IF(AND(_xlpm.typ="H",_xlpm.kod&lt;&gt;"",_xlpm.del&lt;&gt;"Hybrid - Thrust + 2 connections"),INDEX(Hyb_Tech,MATCH(_xlpm.kod,Hyb_Code,0)),GP$72),GP$72))</f>
        <v>25</v>
      </c>
      <c r="GQ139" s="88" cm="1">
        <f t="array" ref="GQ139">_xlfn.LET(_xlpm.rad,$FO138+1,_xlpm.typ,INDEX($E$20:$E$68,_xlpm.rad),_xlpm.kod,INDEX(AI$19:AI$68,_xlpm.rad),_xlpm.del,INDEX($F$19:$F$68,_xlpm.rad),IFERROR(IF(AND(_xlpm.typ="H",_xlpm.kod&lt;&gt;"",_xlpm.del&lt;&gt;"Hybrid - Thrust + 2 connections"),INDEX(Hyb_Tech,MATCH(_xlpm.kod,Hyb_Code,0)),GQ$72),GQ$72))</f>
        <v>26</v>
      </c>
      <c r="GR139" s="88" cm="1">
        <f t="array" ref="GR139">_xlfn.LET(_xlpm.rad,$FO138+1,_xlpm.typ,INDEX($E$20:$E$68,_xlpm.rad),_xlpm.kod,INDEX(AJ$19:AJ$68,_xlpm.rad),_xlpm.del,INDEX($F$19:$F$68,_xlpm.rad),IFERROR(IF(AND(_xlpm.typ="H",_xlpm.kod&lt;&gt;"",_xlpm.del&lt;&gt;"Hybrid - Thrust + 2 connections"),INDEX(Hyb_Tech,MATCH(_xlpm.kod,Hyb_Code,0)),GR$72),GR$72))</f>
        <v>27</v>
      </c>
      <c r="GS139" s="88" cm="1">
        <f t="array" ref="GS139">_xlfn.LET(_xlpm.rad,$FO138+1,_xlpm.typ,INDEX($E$20:$E$68,_xlpm.rad),_xlpm.kod,INDEX(AK$19:AK$68,_xlpm.rad),_xlpm.del,INDEX($F$19:$F$68,_xlpm.rad),IFERROR(IF(AND(_xlpm.typ="H",_xlpm.kod&lt;&gt;"",_xlpm.del&lt;&gt;"Hybrid - Thrust + 2 connections"),INDEX(Hyb_Tech,MATCH(_xlpm.kod,Hyb_Code,0)),GS$72),GS$72))</f>
        <v>28</v>
      </c>
      <c r="GT139" s="88" cm="1">
        <f t="array" ref="GT139">_xlfn.LET(_xlpm.rad,$FO138+1,_xlpm.typ,INDEX($E$20:$E$68,_xlpm.rad),_xlpm.kod,INDEX(AL$19:AL$68,_xlpm.rad),_xlpm.del,INDEX($F$19:$F$68,_xlpm.rad),IFERROR(IF(AND(_xlpm.typ="H",_xlpm.kod&lt;&gt;"",_xlpm.del&lt;&gt;"Hybrid - Thrust + 2 connections"),INDEX(Hyb_Tech,MATCH(_xlpm.kod,Hyb_Code,0)),GT$72),GT$72))</f>
        <v>29</v>
      </c>
      <c r="GU139" s="88" cm="1">
        <f t="array" ref="GU139">_xlfn.LET(_xlpm.rad,$FO138+1,_xlpm.typ,INDEX($E$20:$E$68,_xlpm.rad),_xlpm.kod,INDEX(AM$19:AM$68,_xlpm.rad),_xlpm.del,INDEX($F$19:$F$68,_xlpm.rad),IFERROR(IF(AND(_xlpm.typ="H",_xlpm.kod&lt;&gt;"",_xlpm.del&lt;&gt;"Hybrid - Thrust + 2 connections"),INDEX(Hyb_Tech,MATCH(_xlpm.kod,Hyb_Code,0)),GU$72),GU$72))</f>
        <v>30</v>
      </c>
    </row>
    <row r="140" spans="7:203" x14ac:dyDescent="0.35">
      <c r="EM140" s="91"/>
      <c r="EN140" s="91"/>
      <c r="FP140" s="91" t="str" cm="1">
        <f t="array" ref="FP140">IFERROR(IF($T$5="",IF(COUNTIF(FR140:GU140,1)&gt;$FP$18,INDEX($FR$73:$GU$170,$FO138*5/2+1,MATCH(1,FR140:GU140,0)),""),IF(SUM(FR140:GU140)&gt;2,INDEX($FR$73:$GU$170,$FO138*5/2+1,MATCH(1,FR140:GU140,0)),"")),"")</f>
        <v/>
      </c>
      <c r="FQ140" s="88" t="str" cm="1">
        <f t="array" ref="FQ140">IFERROR(IF(LEFT(FP140,1)="C",IF(RIGHT(FP140,1)="+",LEFT(FP140,LEN(FP140)-1),CONCATENATE(FP140,"+")),IF(SUM($FR140:$GU140)&gt;$FP$18,INDEX($FR$73:$GU$170,$FO138*5/2+1,MATCH(0.5,FR140:GU140,0)),"")),"")</f>
        <v/>
      </c>
      <c r="FR140" s="88" t="str">
        <f t="shared" ref="FR140:GU140" si="3395">IF(AND($BV$6="D",LEFT(FR138,1)="C"),IF(COUNTIF($FR139:$GU139,FR139)&gt;$FP$18,INDEX(Hyb_Tech_Value,MATCH(FR138,Hyb_Code,0)),""),IF(COUNTIF($FR139:$GU139,FR139)&gt;$FP$18,INDEX(Hyb_Tech_Value,MATCH(FR138,Hyb_Code,0)),""))</f>
        <v/>
      </c>
      <c r="FS140" s="88" t="str">
        <f t="shared" si="3395"/>
        <v/>
      </c>
      <c r="FT140" s="88" t="str">
        <f t="shared" si="3395"/>
        <v/>
      </c>
      <c r="FU140" s="88" t="str">
        <f t="shared" si="3395"/>
        <v/>
      </c>
      <c r="FV140" s="88" t="str">
        <f t="shared" si="3395"/>
        <v/>
      </c>
      <c r="FW140" s="88" t="str">
        <f t="shared" si="3395"/>
        <v/>
      </c>
      <c r="FX140" s="88" t="str">
        <f t="shared" si="3395"/>
        <v/>
      </c>
      <c r="FY140" s="88" t="str">
        <f t="shared" si="3395"/>
        <v/>
      </c>
      <c r="FZ140" s="88" t="str">
        <f t="shared" si="3395"/>
        <v/>
      </c>
      <c r="GA140" s="88" t="str">
        <f t="shared" si="3395"/>
        <v/>
      </c>
      <c r="GB140" s="88" t="str">
        <f t="shared" si="3395"/>
        <v/>
      </c>
      <c r="GC140" s="88" t="str">
        <f t="shared" si="3395"/>
        <v/>
      </c>
      <c r="GD140" s="88" t="str">
        <f t="shared" si="3395"/>
        <v/>
      </c>
      <c r="GE140" s="88" t="str">
        <f t="shared" si="3395"/>
        <v/>
      </c>
      <c r="GF140" s="88" t="str">
        <f t="shared" si="3395"/>
        <v/>
      </c>
      <c r="GG140" s="88" t="str">
        <f t="shared" si="3395"/>
        <v/>
      </c>
      <c r="GH140" s="88" t="str">
        <f t="shared" si="3395"/>
        <v/>
      </c>
      <c r="GI140" s="88" t="str">
        <f t="shared" si="3395"/>
        <v/>
      </c>
      <c r="GJ140" s="88" t="str">
        <f t="shared" si="3395"/>
        <v/>
      </c>
      <c r="GK140" s="88" t="str">
        <f t="shared" si="3395"/>
        <v/>
      </c>
      <c r="GL140" s="88" t="str">
        <f t="shared" si="3395"/>
        <v/>
      </c>
      <c r="GM140" s="88" t="str">
        <f t="shared" si="3395"/>
        <v/>
      </c>
      <c r="GN140" s="88" t="str">
        <f t="shared" si="3395"/>
        <v/>
      </c>
      <c r="GO140" s="88" t="str">
        <f t="shared" si="3395"/>
        <v/>
      </c>
      <c r="GP140" s="88" t="str">
        <f t="shared" si="3395"/>
        <v/>
      </c>
      <c r="GQ140" s="88" t="str">
        <f t="shared" si="3395"/>
        <v/>
      </c>
      <c r="GR140" s="88" t="str">
        <f t="shared" si="3395"/>
        <v/>
      </c>
      <c r="GS140" s="88" t="str">
        <f t="shared" si="3395"/>
        <v/>
      </c>
      <c r="GT140" s="88" t="str">
        <f t="shared" si="3395"/>
        <v/>
      </c>
      <c r="GU140" s="88" t="str">
        <f t="shared" si="3395"/>
        <v/>
      </c>
    </row>
    <row r="141" spans="7:203" x14ac:dyDescent="0.35">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Q141" s="88"/>
      <c r="FR141" s="88" t="str">
        <f t="shared" ref="FR141:GU141" si="3396">IFERROR(IF(LEFT(FR138,FIND("*",FR138)-1)=LEFT($FQ$73,FIND("*",$FQ$73)-1),0.5,""),"")</f>
        <v/>
      </c>
      <c r="FS141" s="88" t="str">
        <f t="shared" si="3396"/>
        <v/>
      </c>
      <c r="FT141" s="88" t="str">
        <f t="shared" si="3396"/>
        <v/>
      </c>
      <c r="FU141" s="88" t="str">
        <f t="shared" si="3396"/>
        <v/>
      </c>
      <c r="FV141" s="88" t="str">
        <f t="shared" si="3396"/>
        <v/>
      </c>
      <c r="FW141" s="88" t="str">
        <f t="shared" si="3396"/>
        <v/>
      </c>
      <c r="FX141" s="88" t="str">
        <f t="shared" si="3396"/>
        <v/>
      </c>
      <c r="FY141" s="88" t="str">
        <f t="shared" si="3396"/>
        <v/>
      </c>
      <c r="FZ141" s="88" t="str">
        <f t="shared" si="3396"/>
        <v/>
      </c>
      <c r="GA141" s="88" t="str">
        <f t="shared" si="3396"/>
        <v/>
      </c>
      <c r="GB141" s="88" t="str">
        <f t="shared" si="3396"/>
        <v/>
      </c>
      <c r="GC141" s="88" t="str">
        <f t="shared" si="3396"/>
        <v/>
      </c>
      <c r="GD141" s="88" t="str">
        <f t="shared" si="3396"/>
        <v/>
      </c>
      <c r="GE141" s="88" t="str">
        <f t="shared" si="3396"/>
        <v/>
      </c>
      <c r="GF141" s="88" t="str">
        <f t="shared" si="3396"/>
        <v/>
      </c>
      <c r="GG141" s="88" t="str">
        <f t="shared" si="3396"/>
        <v/>
      </c>
      <c r="GH141" s="88" t="str">
        <f t="shared" si="3396"/>
        <v/>
      </c>
      <c r="GI141" s="88" t="str">
        <f t="shared" si="3396"/>
        <v/>
      </c>
      <c r="GJ141" s="88" t="str">
        <f t="shared" si="3396"/>
        <v/>
      </c>
      <c r="GK141" s="88" t="str">
        <f t="shared" si="3396"/>
        <v/>
      </c>
      <c r="GL141" s="88" t="str">
        <f t="shared" si="3396"/>
        <v/>
      </c>
      <c r="GM141" s="88" t="str">
        <f t="shared" si="3396"/>
        <v/>
      </c>
      <c r="GN141" s="88" t="str">
        <f t="shared" si="3396"/>
        <v/>
      </c>
      <c r="GO141" s="88" t="str">
        <f t="shared" si="3396"/>
        <v/>
      </c>
      <c r="GP141" s="88" t="str">
        <f t="shared" si="3396"/>
        <v/>
      </c>
      <c r="GQ141" s="88" t="str">
        <f t="shared" si="3396"/>
        <v/>
      </c>
      <c r="GR141" s="88" t="str">
        <f t="shared" si="3396"/>
        <v/>
      </c>
      <c r="GS141" s="88" t="str">
        <f t="shared" si="3396"/>
        <v/>
      </c>
      <c r="GT141" s="88" t="str">
        <f t="shared" si="3396"/>
        <v/>
      </c>
      <c r="GU141" s="88" t="str">
        <f t="shared" si="3396"/>
        <v/>
      </c>
    </row>
    <row r="142" spans="7:203" x14ac:dyDescent="0.35">
      <c r="EM142" s="91"/>
      <c r="EN142" s="91"/>
      <c r="FQ142" s="88"/>
      <c r="FR142" s="88"/>
      <c r="FS142" s="88"/>
      <c r="FT142" s="88"/>
      <c r="FU142" s="88"/>
      <c r="FV142" s="88"/>
      <c r="FW142" s="88"/>
      <c r="FX142" s="88"/>
      <c r="FY142" s="88"/>
      <c r="FZ142" s="88"/>
      <c r="GA142" s="88"/>
      <c r="GB142" s="88"/>
      <c r="GC142" s="88"/>
      <c r="GD142" s="88"/>
      <c r="GE142" s="88"/>
      <c r="GF142" s="88"/>
      <c r="GG142" s="88"/>
      <c r="GH142" s="88"/>
      <c r="GI142" s="88"/>
      <c r="GJ142" s="88"/>
      <c r="GK142" s="88"/>
      <c r="GL142" s="88"/>
      <c r="GM142" s="88"/>
      <c r="GN142" s="88"/>
      <c r="GO142" s="88"/>
      <c r="GP142" s="88"/>
      <c r="GQ142" s="88"/>
      <c r="GR142" s="88"/>
      <c r="GS142" s="88"/>
      <c r="GT142" s="88"/>
      <c r="GU142" s="88"/>
    </row>
    <row r="143" spans="7:203" x14ac:dyDescent="0.35">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91">
        <v>28</v>
      </c>
      <c r="FP143" s="88" t="str">
        <f t="shared" ref="FP143" si="3397">IF(SUM(FR146:GU146)&gt;2,FQ143,"")</f>
        <v/>
      </c>
      <c r="FQ143" s="88" t="str" cm="1">
        <f t="array" ref="FQ143">IF(SUM(FR145:GU145)&gt;0,_xlfn.LET(_xlpm.area,FR143:GU143,_xlpm.texts,_xlfn.UNIQUE(_xlfn._xlws.FILTER(_xlpm.area,_xlpm.area&lt;&gt;"")),_xlpm.number,COUNTIF(_xlpm.area,_xlpm.texts),INDEX(_xlpm.texts,MATCH(MAX(_xlpm.number),_xlpm.number,0))),"")</f>
        <v/>
      </c>
      <c r="FR143" s="88" cm="1">
        <f t="array" ref="FR143">_xlfn.LET(_xlpm.rad,$FO143+1,_xlpm.typ,INDEX($E$20:$E$68,_xlpm.rad),_xlpm.kod,INDEX(J$19:J$68,_xlpm.rad),IFERROR(IF(AND(_xlpm.typ="H",_xlpm.kod&lt;&gt;""),UPPER(_xlpm.kod),FR$18),FR$18))</f>
        <v>1</v>
      </c>
      <c r="FS143" s="88" cm="1">
        <f t="array" ref="FS143">_xlfn.LET(_xlpm.rad,$FO143+1,_xlpm.typ,INDEX($E$20:$E$68,_xlpm.rad),_xlpm.kod,INDEX(K$19:K$68,_xlpm.rad),IFERROR(IF(AND(_xlpm.typ="H",_xlpm.kod&lt;&gt;""),UPPER(_xlpm.kod),FS$18),FS$18))</f>
        <v>2</v>
      </c>
      <c r="FT143" s="88" cm="1">
        <f t="array" ref="FT143">_xlfn.LET(_xlpm.rad,$FO143+1,_xlpm.typ,INDEX($E$20:$E$68,_xlpm.rad),_xlpm.kod,INDEX(L$19:L$68,_xlpm.rad),IFERROR(IF(AND(_xlpm.typ="H",_xlpm.kod&lt;&gt;""),UPPER(_xlpm.kod),FT$18),FT$18))</f>
        <v>3</v>
      </c>
      <c r="FU143" s="88" cm="1">
        <f t="array" ref="FU143">_xlfn.LET(_xlpm.rad,$FO143+1,_xlpm.typ,INDEX($E$20:$E$68,_xlpm.rad),_xlpm.kod,INDEX(M$19:M$68,_xlpm.rad),IFERROR(IF(AND(_xlpm.typ="H",_xlpm.kod&lt;&gt;""),UPPER(_xlpm.kod),FU$18),FU$18))</f>
        <v>4</v>
      </c>
      <c r="FV143" s="88" cm="1">
        <f t="array" ref="FV143">_xlfn.LET(_xlpm.rad,$FO143+1,_xlpm.typ,INDEX($E$20:$E$68,_xlpm.rad),_xlpm.kod,INDEX(N$19:N$68,_xlpm.rad),IFERROR(IF(AND(_xlpm.typ="H",_xlpm.kod&lt;&gt;""),UPPER(_xlpm.kod),FV$18),FV$18))</f>
        <v>5</v>
      </c>
      <c r="FW143" s="88" cm="1">
        <f t="array" ref="FW143">_xlfn.LET(_xlpm.rad,$FO143+1,_xlpm.typ,INDEX($E$20:$E$68,_xlpm.rad),_xlpm.kod,INDEX(O$19:O$68,_xlpm.rad),IFERROR(IF(AND(_xlpm.typ="H",_xlpm.kod&lt;&gt;""),UPPER(_xlpm.kod),FW$18),FW$18))</f>
        <v>6</v>
      </c>
      <c r="FX143" s="88" cm="1">
        <f t="array" ref="FX143">_xlfn.LET(_xlpm.rad,$FO143+1,_xlpm.typ,INDEX($E$20:$E$68,_xlpm.rad),_xlpm.kod,INDEX(P$19:P$68,_xlpm.rad),IFERROR(IF(AND(_xlpm.typ="H",_xlpm.kod&lt;&gt;""),UPPER(_xlpm.kod),FX$18),FX$18))</f>
        <v>7</v>
      </c>
      <c r="FY143" s="88" cm="1">
        <f t="array" ref="FY143">_xlfn.LET(_xlpm.rad,$FO143+1,_xlpm.typ,INDEX($E$20:$E$68,_xlpm.rad),_xlpm.kod,INDEX(Q$19:Q$68,_xlpm.rad),IFERROR(IF(AND(_xlpm.typ="H",_xlpm.kod&lt;&gt;""),UPPER(_xlpm.kod),FY$18),FY$18))</f>
        <v>8</v>
      </c>
      <c r="FZ143" s="88" cm="1">
        <f t="array" ref="FZ143">_xlfn.LET(_xlpm.rad,$FO143+1,_xlpm.typ,INDEX($E$20:$E$68,_xlpm.rad),_xlpm.kod,INDEX(R$19:R$68,_xlpm.rad),IFERROR(IF(AND(_xlpm.typ="H",_xlpm.kod&lt;&gt;""),UPPER(_xlpm.kod),FZ$18),FZ$18))</f>
        <v>9</v>
      </c>
      <c r="GA143" s="88" cm="1">
        <f t="array" ref="GA143">_xlfn.LET(_xlpm.rad,$FO143+1,_xlpm.typ,INDEX($E$20:$E$68,_xlpm.rad),_xlpm.kod,INDEX(S$19:S$68,_xlpm.rad),IFERROR(IF(AND(_xlpm.typ="H",_xlpm.kod&lt;&gt;""),UPPER(_xlpm.kod),GA$18),GA$18))</f>
        <v>10</v>
      </c>
      <c r="GB143" s="88" cm="1">
        <f t="array" ref="GB143">_xlfn.LET(_xlpm.rad,$FO143+1,_xlpm.typ,INDEX($E$20:$E$68,_xlpm.rad),_xlpm.kod,INDEX(T$19:T$68,_xlpm.rad),IFERROR(IF(AND(_xlpm.typ="H",_xlpm.kod&lt;&gt;""),UPPER(_xlpm.kod),GB$18),GB$18))</f>
        <v>11</v>
      </c>
      <c r="GC143" s="88" cm="1">
        <f t="array" ref="GC143">_xlfn.LET(_xlpm.rad,$FO143+1,_xlpm.typ,INDEX($E$20:$E$68,_xlpm.rad),_xlpm.kod,INDEX(U$19:U$68,_xlpm.rad),IFERROR(IF(AND(_xlpm.typ="H",_xlpm.kod&lt;&gt;""),UPPER(_xlpm.kod),GC$18),GC$18))</f>
        <v>12</v>
      </c>
      <c r="GD143" s="88" cm="1">
        <f t="array" ref="GD143">_xlfn.LET(_xlpm.rad,$FO143+1,_xlpm.typ,INDEX($E$20:$E$68,_xlpm.rad),_xlpm.kod,INDEX(V$19:V$68,_xlpm.rad),IFERROR(IF(AND(_xlpm.typ="H",_xlpm.kod&lt;&gt;""),UPPER(_xlpm.kod),GD$18),GD$18))</f>
        <v>13</v>
      </c>
      <c r="GE143" s="88" cm="1">
        <f t="array" ref="GE143">_xlfn.LET(_xlpm.rad,$FO143+1,_xlpm.typ,INDEX($E$20:$E$68,_xlpm.rad),_xlpm.kod,INDEX(W$19:W$68,_xlpm.rad),IFERROR(IF(AND(_xlpm.typ="H",_xlpm.kod&lt;&gt;""),UPPER(_xlpm.kod),GE$18),GE$18))</f>
        <v>14</v>
      </c>
      <c r="GF143" s="88" cm="1">
        <f t="array" ref="GF143">_xlfn.LET(_xlpm.rad,$FO143+1,_xlpm.typ,INDEX($E$20:$E$68,_xlpm.rad),_xlpm.kod,INDEX(X$19:X$68,_xlpm.rad),IFERROR(IF(AND(_xlpm.typ="H",_xlpm.kod&lt;&gt;""),UPPER(_xlpm.kod),GF$18),GF$18))</f>
        <v>15</v>
      </c>
      <c r="GG143" s="88" cm="1">
        <f t="array" ref="GG143">_xlfn.LET(_xlpm.rad,$FO143+1,_xlpm.typ,INDEX($E$20:$E$68,_xlpm.rad),_xlpm.kod,INDEX(Y$19:Y$68,_xlpm.rad),IFERROR(IF(AND(_xlpm.typ="H",_xlpm.kod&lt;&gt;""),UPPER(_xlpm.kod),GG$18),GG$18))</f>
        <v>16</v>
      </c>
      <c r="GH143" s="88" cm="1">
        <f t="array" ref="GH143">_xlfn.LET(_xlpm.rad,$FO143+1,_xlpm.typ,INDEX($E$20:$E$68,_xlpm.rad),_xlpm.kod,INDEX(Z$19:Z$68,_xlpm.rad),IFERROR(IF(AND(_xlpm.typ="H",_xlpm.kod&lt;&gt;""),UPPER(_xlpm.kod),GH$18),GH$18))</f>
        <v>17</v>
      </c>
      <c r="GI143" s="88" cm="1">
        <f t="array" ref="GI143">_xlfn.LET(_xlpm.rad,$FO143+1,_xlpm.typ,INDEX($E$20:$E$68,_xlpm.rad),_xlpm.kod,INDEX(AA$19:AA$68,_xlpm.rad),IFERROR(IF(AND(_xlpm.typ="H",_xlpm.kod&lt;&gt;""),UPPER(_xlpm.kod),GI$18),GI$18))</f>
        <v>18</v>
      </c>
      <c r="GJ143" s="88" cm="1">
        <f t="array" ref="GJ143">_xlfn.LET(_xlpm.rad,$FO143+1,_xlpm.typ,INDEX($E$20:$E$68,_xlpm.rad),_xlpm.kod,INDEX(AB$19:AB$68,_xlpm.rad),IFERROR(IF(AND(_xlpm.typ="H",_xlpm.kod&lt;&gt;""),UPPER(_xlpm.kod),GJ$18),GJ$18))</f>
        <v>19</v>
      </c>
      <c r="GK143" s="88" cm="1">
        <f t="array" ref="GK143">_xlfn.LET(_xlpm.rad,$FO143+1,_xlpm.typ,INDEX($E$20:$E$68,_xlpm.rad),_xlpm.kod,INDEX(AC$19:AC$68,_xlpm.rad),IFERROR(IF(AND(_xlpm.typ="H",_xlpm.kod&lt;&gt;""),UPPER(_xlpm.kod),GK$18),GK$18))</f>
        <v>20</v>
      </c>
      <c r="GL143" s="88" cm="1">
        <f t="array" ref="GL143">_xlfn.LET(_xlpm.rad,$FO143+1,_xlpm.typ,INDEX($E$20:$E$68,_xlpm.rad),_xlpm.kod,INDEX(AD$19:AD$68,_xlpm.rad),IFERROR(IF(AND(_xlpm.typ="H",_xlpm.kod&lt;&gt;""),UPPER(_xlpm.kod),GL$18),GL$18))</f>
        <v>21</v>
      </c>
      <c r="GM143" s="88" cm="1">
        <f t="array" ref="GM143">_xlfn.LET(_xlpm.rad,$FO143+1,_xlpm.typ,INDEX($E$20:$E$68,_xlpm.rad),_xlpm.kod,INDEX(AE$19:AE$68,_xlpm.rad),IFERROR(IF(AND(_xlpm.typ="H",_xlpm.kod&lt;&gt;""),UPPER(_xlpm.kod),GM$18),GM$18))</f>
        <v>22</v>
      </c>
      <c r="GN143" s="88" cm="1">
        <f t="array" ref="GN143">_xlfn.LET(_xlpm.rad,$FO143+1,_xlpm.typ,INDEX($E$20:$E$68,_xlpm.rad),_xlpm.kod,INDEX(AF$19:AF$68,_xlpm.rad),IFERROR(IF(AND(_xlpm.typ="H",_xlpm.kod&lt;&gt;""),UPPER(_xlpm.kod),GN$18),GN$18))</f>
        <v>23</v>
      </c>
      <c r="GO143" s="88" cm="1">
        <f t="array" ref="GO143">_xlfn.LET(_xlpm.rad,$FO143+1,_xlpm.typ,INDEX($E$20:$E$68,_xlpm.rad),_xlpm.kod,INDEX(AG$19:AG$68,_xlpm.rad),IFERROR(IF(AND(_xlpm.typ="H",_xlpm.kod&lt;&gt;""),UPPER(_xlpm.kod),GO$18),GO$18))</f>
        <v>24</v>
      </c>
      <c r="GP143" s="88" cm="1">
        <f t="array" ref="GP143">_xlfn.LET(_xlpm.rad,$FO143+1,_xlpm.typ,INDEX($E$20:$E$68,_xlpm.rad),_xlpm.kod,INDEX(AH$19:AH$68,_xlpm.rad),IFERROR(IF(AND(_xlpm.typ="H",_xlpm.kod&lt;&gt;""),UPPER(_xlpm.kod),GP$18),GP$18))</f>
        <v>25</v>
      </c>
      <c r="GQ143" s="88" cm="1">
        <f t="array" ref="GQ143">_xlfn.LET(_xlpm.rad,$FO143+1,_xlpm.typ,INDEX($E$20:$E$68,_xlpm.rad),_xlpm.kod,INDEX(AI$19:AI$68,_xlpm.rad),IFERROR(IF(AND(_xlpm.typ="H",_xlpm.kod&lt;&gt;""),UPPER(_xlpm.kod),GQ$18),GQ$18))</f>
        <v>26</v>
      </c>
      <c r="GR143" s="88" cm="1">
        <f t="array" ref="GR143">_xlfn.LET(_xlpm.rad,$FO143+1,_xlpm.typ,INDEX($E$20:$E$68,_xlpm.rad),_xlpm.kod,INDEX(AJ$19:AJ$68,_xlpm.rad),IFERROR(IF(AND(_xlpm.typ="H",_xlpm.kod&lt;&gt;""),UPPER(_xlpm.kod),GR$18),GR$18))</f>
        <v>27</v>
      </c>
      <c r="GS143" s="88" cm="1">
        <f t="array" ref="GS143">_xlfn.LET(_xlpm.rad,$FO143+1,_xlpm.typ,INDEX($E$20:$E$68,_xlpm.rad),_xlpm.kod,INDEX(AK$19:AK$68,_xlpm.rad),IFERROR(IF(AND(_xlpm.typ="H",_xlpm.kod&lt;&gt;""),UPPER(_xlpm.kod),GS$18),GS$18))</f>
        <v>28</v>
      </c>
      <c r="GT143" s="88" cm="1">
        <f t="array" ref="GT143">_xlfn.LET(_xlpm.rad,$FO143+1,_xlpm.typ,INDEX($E$20:$E$68,_xlpm.rad),_xlpm.kod,INDEX(AL$19:AL$68,_xlpm.rad),IFERROR(IF(AND(_xlpm.typ="H",_xlpm.kod&lt;&gt;""),UPPER(_xlpm.kod),GT$18),GT$18))</f>
        <v>29</v>
      </c>
      <c r="GU143" s="88" cm="1">
        <f t="array" ref="GU143">_xlfn.LET(_xlpm.rad,$FO143+1,_xlpm.typ,INDEX($E$20:$E$68,_xlpm.rad),_xlpm.kod,INDEX(AM$19:AM$68,_xlpm.rad),IFERROR(IF(AND(_xlpm.typ="H",_xlpm.kod&lt;&gt;""),UPPER(_xlpm.kod),GU$18),GU$18))</f>
        <v>30</v>
      </c>
    </row>
    <row r="144" spans="7:203" x14ac:dyDescent="0.35">
      <c r="EM144" s="91"/>
      <c r="EN144" s="91"/>
      <c r="FR144" s="88" cm="1">
        <f t="array" ref="FR144">_xlfn.LET(_xlpm.rad,$FO143+1,_xlpm.typ,INDEX($E$20:$E$68,_xlpm.rad),_xlpm.kod,INDEX(J$19:J$68,_xlpm.rad),_xlpm.del,INDEX($F$19:$F$68,_xlpm.rad),IFERROR(IF(AND(_xlpm.typ="H",_xlpm.kod&lt;&gt;"",_xlpm.del&lt;&gt;"Hybrid - Thrust + 2 connections"),INDEX(Hyb_Tech,MATCH(_xlpm.kod,Hyb_Code,0)),FR$72),FR$72))</f>
        <v>1</v>
      </c>
      <c r="FS144" s="88" cm="1">
        <f t="array" ref="FS144">_xlfn.LET(_xlpm.rad,$FO143+1,_xlpm.typ,INDEX($E$20:$E$68,_xlpm.rad),_xlpm.kod,INDEX(K$19:K$68,_xlpm.rad),_xlpm.del,INDEX($F$19:$F$68,_xlpm.rad),IFERROR(IF(AND(_xlpm.typ="H",_xlpm.kod&lt;&gt;"",_xlpm.del&lt;&gt;"Hybrid - Thrust + 2 connections"),INDEX(Hyb_Tech,MATCH(_xlpm.kod,Hyb_Code,0)),FS$72),FS$72))</f>
        <v>2</v>
      </c>
      <c r="FT144" s="88" cm="1">
        <f t="array" ref="FT144">_xlfn.LET(_xlpm.rad,$FO143+1,_xlpm.typ,INDEX($E$20:$E$68,_xlpm.rad),_xlpm.kod,INDEX(L$19:L$68,_xlpm.rad),_xlpm.del,INDEX($F$19:$F$68,_xlpm.rad),IFERROR(IF(AND(_xlpm.typ="H",_xlpm.kod&lt;&gt;"",_xlpm.del&lt;&gt;"Hybrid - Thrust + 2 connections"),INDEX(Hyb_Tech,MATCH(_xlpm.kod,Hyb_Code,0)),FT$72),FT$72))</f>
        <v>3</v>
      </c>
      <c r="FU144" s="88" cm="1">
        <f t="array" ref="FU144">_xlfn.LET(_xlpm.rad,$FO143+1,_xlpm.typ,INDEX($E$20:$E$68,_xlpm.rad),_xlpm.kod,INDEX(M$19:M$68,_xlpm.rad),_xlpm.del,INDEX($F$19:$F$68,_xlpm.rad),IFERROR(IF(AND(_xlpm.typ="H",_xlpm.kod&lt;&gt;"",_xlpm.del&lt;&gt;"Hybrid - Thrust + 2 connections"),INDEX(Hyb_Tech,MATCH(_xlpm.kod,Hyb_Code,0)),FU$72),FU$72))</f>
        <v>4</v>
      </c>
      <c r="FV144" s="88" cm="1">
        <f t="array" ref="FV144">_xlfn.LET(_xlpm.rad,$FO143+1,_xlpm.typ,INDEX($E$20:$E$68,_xlpm.rad),_xlpm.kod,INDEX(N$19:N$68,_xlpm.rad),_xlpm.del,INDEX($F$19:$F$68,_xlpm.rad),IFERROR(IF(AND(_xlpm.typ="H",_xlpm.kod&lt;&gt;"",_xlpm.del&lt;&gt;"Hybrid - Thrust + 2 connections"),INDEX(Hyb_Tech,MATCH(_xlpm.kod,Hyb_Code,0)),FV$72),FV$72))</f>
        <v>5</v>
      </c>
      <c r="FW144" s="88" cm="1">
        <f t="array" ref="FW144">_xlfn.LET(_xlpm.rad,$FO143+1,_xlpm.typ,INDEX($E$20:$E$68,_xlpm.rad),_xlpm.kod,INDEX(O$19:O$68,_xlpm.rad),_xlpm.del,INDEX($F$19:$F$68,_xlpm.rad),IFERROR(IF(AND(_xlpm.typ="H",_xlpm.kod&lt;&gt;"",_xlpm.del&lt;&gt;"Hybrid - Thrust + 2 connections"),INDEX(Hyb_Tech,MATCH(_xlpm.kod,Hyb_Code,0)),FW$72),FW$72))</f>
        <v>6</v>
      </c>
      <c r="FX144" s="88" cm="1">
        <f t="array" ref="FX144">_xlfn.LET(_xlpm.rad,$FO143+1,_xlpm.typ,INDEX($E$20:$E$68,_xlpm.rad),_xlpm.kod,INDEX(P$19:P$68,_xlpm.rad),_xlpm.del,INDEX($F$19:$F$68,_xlpm.rad),IFERROR(IF(AND(_xlpm.typ="H",_xlpm.kod&lt;&gt;"",_xlpm.del&lt;&gt;"Hybrid - Thrust + 2 connections"),INDEX(Hyb_Tech,MATCH(_xlpm.kod,Hyb_Code,0)),FX$72),FX$72))</f>
        <v>7</v>
      </c>
      <c r="FY144" s="88" cm="1">
        <f t="array" ref="FY144">_xlfn.LET(_xlpm.rad,$FO143+1,_xlpm.typ,INDEX($E$20:$E$68,_xlpm.rad),_xlpm.kod,INDEX(Q$19:Q$68,_xlpm.rad),_xlpm.del,INDEX($F$19:$F$68,_xlpm.rad),IFERROR(IF(AND(_xlpm.typ="H",_xlpm.kod&lt;&gt;"",_xlpm.del&lt;&gt;"Hybrid - Thrust + 2 connections"),INDEX(Hyb_Tech,MATCH(_xlpm.kod,Hyb_Code,0)),FY$72),FY$72))</f>
        <v>8</v>
      </c>
      <c r="FZ144" s="88" cm="1">
        <f t="array" ref="FZ144">_xlfn.LET(_xlpm.rad,$FO143+1,_xlpm.typ,INDEX($E$20:$E$68,_xlpm.rad),_xlpm.kod,INDEX(R$19:R$68,_xlpm.rad),_xlpm.del,INDEX($F$19:$F$68,_xlpm.rad),IFERROR(IF(AND(_xlpm.typ="H",_xlpm.kod&lt;&gt;"",_xlpm.del&lt;&gt;"Hybrid - Thrust + 2 connections"),INDEX(Hyb_Tech,MATCH(_xlpm.kod,Hyb_Code,0)),FZ$72),FZ$72))</f>
        <v>9</v>
      </c>
      <c r="GA144" s="88" cm="1">
        <f t="array" ref="GA144">_xlfn.LET(_xlpm.rad,$FO143+1,_xlpm.typ,INDEX($E$20:$E$68,_xlpm.rad),_xlpm.kod,INDEX(S$19:S$68,_xlpm.rad),_xlpm.del,INDEX($F$19:$F$68,_xlpm.rad),IFERROR(IF(AND(_xlpm.typ="H",_xlpm.kod&lt;&gt;"",_xlpm.del&lt;&gt;"Hybrid - Thrust + 2 connections"),INDEX(Hyb_Tech,MATCH(_xlpm.kod,Hyb_Code,0)),GA$72),GA$72))</f>
        <v>10</v>
      </c>
      <c r="GB144" s="88" cm="1">
        <f t="array" ref="GB144">_xlfn.LET(_xlpm.rad,$FO143+1,_xlpm.typ,INDEX($E$20:$E$68,_xlpm.rad),_xlpm.kod,INDEX(T$19:T$68,_xlpm.rad),_xlpm.del,INDEX($F$19:$F$68,_xlpm.rad),IFERROR(IF(AND(_xlpm.typ="H",_xlpm.kod&lt;&gt;"",_xlpm.del&lt;&gt;"Hybrid - Thrust + 2 connections"),INDEX(Hyb_Tech,MATCH(_xlpm.kod,Hyb_Code,0)),GB$72),GB$72))</f>
        <v>11</v>
      </c>
      <c r="GC144" s="88" cm="1">
        <f t="array" ref="GC144">_xlfn.LET(_xlpm.rad,$FO143+1,_xlpm.typ,INDEX($E$20:$E$68,_xlpm.rad),_xlpm.kod,INDEX(U$19:U$68,_xlpm.rad),_xlpm.del,INDEX($F$19:$F$68,_xlpm.rad),IFERROR(IF(AND(_xlpm.typ="H",_xlpm.kod&lt;&gt;"",_xlpm.del&lt;&gt;"Hybrid - Thrust + 2 connections"),INDEX(Hyb_Tech,MATCH(_xlpm.kod,Hyb_Code,0)),GC$72),GC$72))</f>
        <v>12</v>
      </c>
      <c r="GD144" s="88" cm="1">
        <f t="array" ref="GD144">_xlfn.LET(_xlpm.rad,$FO143+1,_xlpm.typ,INDEX($E$20:$E$68,_xlpm.rad),_xlpm.kod,INDEX(V$19:V$68,_xlpm.rad),_xlpm.del,INDEX($F$19:$F$68,_xlpm.rad),IFERROR(IF(AND(_xlpm.typ="H",_xlpm.kod&lt;&gt;"",_xlpm.del&lt;&gt;"Hybrid - Thrust + 2 connections"),INDEX(Hyb_Tech,MATCH(_xlpm.kod,Hyb_Code,0)),GD$72),GD$72))</f>
        <v>13</v>
      </c>
      <c r="GE144" s="88" cm="1">
        <f t="array" ref="GE144">_xlfn.LET(_xlpm.rad,$FO143+1,_xlpm.typ,INDEX($E$20:$E$68,_xlpm.rad),_xlpm.kod,INDEX(W$19:W$68,_xlpm.rad),_xlpm.del,INDEX($F$19:$F$68,_xlpm.rad),IFERROR(IF(AND(_xlpm.typ="H",_xlpm.kod&lt;&gt;"",_xlpm.del&lt;&gt;"Hybrid - Thrust + 2 connections"),INDEX(Hyb_Tech,MATCH(_xlpm.kod,Hyb_Code,0)),GE$72),GE$72))</f>
        <v>14</v>
      </c>
      <c r="GF144" s="88" cm="1">
        <f t="array" ref="GF144">_xlfn.LET(_xlpm.rad,$FO143+1,_xlpm.typ,INDEX($E$20:$E$68,_xlpm.rad),_xlpm.kod,INDEX(X$19:X$68,_xlpm.rad),_xlpm.del,INDEX($F$19:$F$68,_xlpm.rad),IFERROR(IF(AND(_xlpm.typ="H",_xlpm.kod&lt;&gt;"",_xlpm.del&lt;&gt;"Hybrid - Thrust + 2 connections"),INDEX(Hyb_Tech,MATCH(_xlpm.kod,Hyb_Code,0)),GF$72),GF$72))</f>
        <v>15</v>
      </c>
      <c r="GG144" s="88" cm="1">
        <f t="array" ref="GG144">_xlfn.LET(_xlpm.rad,$FO143+1,_xlpm.typ,INDEX($E$20:$E$68,_xlpm.rad),_xlpm.kod,INDEX(Y$19:Y$68,_xlpm.rad),_xlpm.del,INDEX($F$19:$F$68,_xlpm.rad),IFERROR(IF(AND(_xlpm.typ="H",_xlpm.kod&lt;&gt;"",_xlpm.del&lt;&gt;"Hybrid - Thrust + 2 connections"),INDEX(Hyb_Tech,MATCH(_xlpm.kod,Hyb_Code,0)),GG$72),GG$72))</f>
        <v>16</v>
      </c>
      <c r="GH144" s="88" cm="1">
        <f t="array" ref="GH144">_xlfn.LET(_xlpm.rad,$FO143+1,_xlpm.typ,INDEX($E$20:$E$68,_xlpm.rad),_xlpm.kod,INDEX(Z$19:Z$68,_xlpm.rad),_xlpm.del,INDEX($F$19:$F$68,_xlpm.rad),IFERROR(IF(AND(_xlpm.typ="H",_xlpm.kod&lt;&gt;"",_xlpm.del&lt;&gt;"Hybrid - Thrust + 2 connections"),INDEX(Hyb_Tech,MATCH(_xlpm.kod,Hyb_Code,0)),GH$72),GH$72))</f>
        <v>17</v>
      </c>
      <c r="GI144" s="88" cm="1">
        <f t="array" ref="GI144">_xlfn.LET(_xlpm.rad,$FO143+1,_xlpm.typ,INDEX($E$20:$E$68,_xlpm.rad),_xlpm.kod,INDEX(AA$19:AA$68,_xlpm.rad),_xlpm.del,INDEX($F$19:$F$68,_xlpm.rad),IFERROR(IF(AND(_xlpm.typ="H",_xlpm.kod&lt;&gt;"",_xlpm.del&lt;&gt;"Hybrid - Thrust + 2 connections"),INDEX(Hyb_Tech,MATCH(_xlpm.kod,Hyb_Code,0)),GI$72),GI$72))</f>
        <v>18</v>
      </c>
      <c r="GJ144" s="88" cm="1">
        <f t="array" ref="GJ144">_xlfn.LET(_xlpm.rad,$FO143+1,_xlpm.typ,INDEX($E$20:$E$68,_xlpm.rad),_xlpm.kod,INDEX(AB$19:AB$68,_xlpm.rad),_xlpm.del,INDEX($F$19:$F$68,_xlpm.rad),IFERROR(IF(AND(_xlpm.typ="H",_xlpm.kod&lt;&gt;"",_xlpm.del&lt;&gt;"Hybrid - Thrust + 2 connections"),INDEX(Hyb_Tech,MATCH(_xlpm.kod,Hyb_Code,0)),GJ$72),GJ$72))</f>
        <v>19</v>
      </c>
      <c r="GK144" s="88" cm="1">
        <f t="array" ref="GK144">_xlfn.LET(_xlpm.rad,$FO143+1,_xlpm.typ,INDEX($E$20:$E$68,_xlpm.rad),_xlpm.kod,INDEX(AC$19:AC$68,_xlpm.rad),_xlpm.del,INDEX($F$19:$F$68,_xlpm.rad),IFERROR(IF(AND(_xlpm.typ="H",_xlpm.kod&lt;&gt;"",_xlpm.del&lt;&gt;"Hybrid - Thrust + 2 connections"),INDEX(Hyb_Tech,MATCH(_xlpm.kod,Hyb_Code,0)),GK$72),GK$72))</f>
        <v>20</v>
      </c>
      <c r="GL144" s="88" cm="1">
        <f t="array" ref="GL144">_xlfn.LET(_xlpm.rad,$FO143+1,_xlpm.typ,INDEX($E$20:$E$68,_xlpm.rad),_xlpm.kod,INDEX(AD$19:AD$68,_xlpm.rad),_xlpm.del,INDEX($F$19:$F$68,_xlpm.rad),IFERROR(IF(AND(_xlpm.typ="H",_xlpm.kod&lt;&gt;"",_xlpm.del&lt;&gt;"Hybrid - Thrust + 2 connections"),INDEX(Hyb_Tech,MATCH(_xlpm.kod,Hyb_Code,0)),GL$72),GL$72))</f>
        <v>21</v>
      </c>
      <c r="GM144" s="88" cm="1">
        <f t="array" ref="GM144">_xlfn.LET(_xlpm.rad,$FO143+1,_xlpm.typ,INDEX($E$20:$E$68,_xlpm.rad),_xlpm.kod,INDEX(AE$19:AE$68,_xlpm.rad),_xlpm.del,INDEX($F$19:$F$68,_xlpm.rad),IFERROR(IF(AND(_xlpm.typ="H",_xlpm.kod&lt;&gt;"",_xlpm.del&lt;&gt;"Hybrid - Thrust + 2 connections"),INDEX(Hyb_Tech,MATCH(_xlpm.kod,Hyb_Code,0)),GM$72),GM$72))</f>
        <v>22</v>
      </c>
      <c r="GN144" s="88" cm="1">
        <f t="array" ref="GN144">_xlfn.LET(_xlpm.rad,$FO143+1,_xlpm.typ,INDEX($E$20:$E$68,_xlpm.rad),_xlpm.kod,INDEX(AF$19:AF$68,_xlpm.rad),_xlpm.del,INDEX($F$19:$F$68,_xlpm.rad),IFERROR(IF(AND(_xlpm.typ="H",_xlpm.kod&lt;&gt;"",_xlpm.del&lt;&gt;"Hybrid - Thrust + 2 connections"),INDEX(Hyb_Tech,MATCH(_xlpm.kod,Hyb_Code,0)),GN$72),GN$72))</f>
        <v>23</v>
      </c>
      <c r="GO144" s="88" cm="1">
        <f t="array" ref="GO144">_xlfn.LET(_xlpm.rad,$FO143+1,_xlpm.typ,INDEX($E$20:$E$68,_xlpm.rad),_xlpm.kod,INDEX(AG$19:AG$68,_xlpm.rad),_xlpm.del,INDEX($F$19:$F$68,_xlpm.rad),IFERROR(IF(AND(_xlpm.typ="H",_xlpm.kod&lt;&gt;"",_xlpm.del&lt;&gt;"Hybrid - Thrust + 2 connections"),INDEX(Hyb_Tech,MATCH(_xlpm.kod,Hyb_Code,0)),GO$72),GO$72))</f>
        <v>24</v>
      </c>
      <c r="GP144" s="88" cm="1">
        <f t="array" ref="GP144">_xlfn.LET(_xlpm.rad,$FO143+1,_xlpm.typ,INDEX($E$20:$E$68,_xlpm.rad),_xlpm.kod,INDEX(AH$19:AH$68,_xlpm.rad),_xlpm.del,INDEX($F$19:$F$68,_xlpm.rad),IFERROR(IF(AND(_xlpm.typ="H",_xlpm.kod&lt;&gt;"",_xlpm.del&lt;&gt;"Hybrid - Thrust + 2 connections"),INDEX(Hyb_Tech,MATCH(_xlpm.kod,Hyb_Code,0)),GP$72),GP$72))</f>
        <v>25</v>
      </c>
      <c r="GQ144" s="88" cm="1">
        <f t="array" ref="GQ144">_xlfn.LET(_xlpm.rad,$FO143+1,_xlpm.typ,INDEX($E$20:$E$68,_xlpm.rad),_xlpm.kod,INDEX(AI$19:AI$68,_xlpm.rad),_xlpm.del,INDEX($F$19:$F$68,_xlpm.rad),IFERROR(IF(AND(_xlpm.typ="H",_xlpm.kod&lt;&gt;"",_xlpm.del&lt;&gt;"Hybrid - Thrust + 2 connections"),INDEX(Hyb_Tech,MATCH(_xlpm.kod,Hyb_Code,0)),GQ$72),GQ$72))</f>
        <v>26</v>
      </c>
      <c r="GR144" s="88" cm="1">
        <f t="array" ref="GR144">_xlfn.LET(_xlpm.rad,$FO143+1,_xlpm.typ,INDEX($E$20:$E$68,_xlpm.rad),_xlpm.kod,INDEX(AJ$19:AJ$68,_xlpm.rad),_xlpm.del,INDEX($F$19:$F$68,_xlpm.rad),IFERROR(IF(AND(_xlpm.typ="H",_xlpm.kod&lt;&gt;"",_xlpm.del&lt;&gt;"Hybrid - Thrust + 2 connections"),INDEX(Hyb_Tech,MATCH(_xlpm.kod,Hyb_Code,0)),GR$72),GR$72))</f>
        <v>27</v>
      </c>
      <c r="GS144" s="88" cm="1">
        <f t="array" ref="GS144">_xlfn.LET(_xlpm.rad,$FO143+1,_xlpm.typ,INDEX($E$20:$E$68,_xlpm.rad),_xlpm.kod,INDEX(AK$19:AK$68,_xlpm.rad),_xlpm.del,INDEX($F$19:$F$68,_xlpm.rad),IFERROR(IF(AND(_xlpm.typ="H",_xlpm.kod&lt;&gt;"",_xlpm.del&lt;&gt;"Hybrid - Thrust + 2 connections"),INDEX(Hyb_Tech,MATCH(_xlpm.kod,Hyb_Code,0)),GS$72),GS$72))</f>
        <v>28</v>
      </c>
      <c r="GT144" s="88" cm="1">
        <f t="array" ref="GT144">_xlfn.LET(_xlpm.rad,$FO143+1,_xlpm.typ,INDEX($E$20:$E$68,_xlpm.rad),_xlpm.kod,INDEX(AL$19:AL$68,_xlpm.rad),_xlpm.del,INDEX($F$19:$F$68,_xlpm.rad),IFERROR(IF(AND(_xlpm.typ="H",_xlpm.kod&lt;&gt;"",_xlpm.del&lt;&gt;"Hybrid - Thrust + 2 connections"),INDEX(Hyb_Tech,MATCH(_xlpm.kod,Hyb_Code,0)),GT$72),GT$72))</f>
        <v>29</v>
      </c>
      <c r="GU144" s="88" cm="1">
        <f t="array" ref="GU144">_xlfn.LET(_xlpm.rad,$FO143+1,_xlpm.typ,INDEX($E$20:$E$68,_xlpm.rad),_xlpm.kod,INDEX(AM$19:AM$68,_xlpm.rad),_xlpm.del,INDEX($F$19:$F$68,_xlpm.rad),IFERROR(IF(AND(_xlpm.typ="H",_xlpm.kod&lt;&gt;"",_xlpm.del&lt;&gt;"Hybrid - Thrust + 2 connections"),INDEX(Hyb_Tech,MATCH(_xlpm.kod,Hyb_Code,0)),GU$72),GU$72))</f>
        <v>30</v>
      </c>
    </row>
    <row r="145" spans="143:203" x14ac:dyDescent="0.35">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P145" s="91" t="str" cm="1">
        <f t="array" ref="FP145">IFERROR(IF($T$5="",IF(COUNTIF(FR145:GU145,1)&gt;$FP$18,INDEX($FR$73:$GU$170,$FO143*5/2+1,MATCH(1,FR145:GU145,0)),""),IF(SUM(FR145:GU145)&gt;2,INDEX($FR$73:$GU$170,$FO143*5/2+1,MATCH(1,FR145:GU145,0)),"")),"")</f>
        <v/>
      </c>
      <c r="FQ145" s="88" t="str" cm="1">
        <f t="array" ref="FQ145">IFERROR(IF(LEFT(FP145,1)="C",IF(RIGHT(FP145,1)="+",LEFT(FP145,LEN(FP145)-1),CONCATENATE(FP145,"+")),IF(SUM($FR145:$GU145)&gt;$FP$18,INDEX($FR$73:$GU$170,$FO143*5/2+1,MATCH(0.5,FR145:GU145,0)),"")),"")</f>
        <v/>
      </c>
      <c r="FR145" s="88" t="str">
        <f t="shared" ref="FR145:GU145" si="3398">IF(AND($BV$6="D",LEFT(FR143,1)="C"),IF(COUNTIF($FR144:$GU144,FR144)&gt;$FP$18,INDEX(Hyb_Tech_Value,MATCH(FR143,Hyb_Code,0)),""),IF(COUNTIF($FR144:$GU144,FR144)&gt;$FP$18,INDEX(Hyb_Tech_Value,MATCH(FR143,Hyb_Code,0)),""))</f>
        <v/>
      </c>
      <c r="FS145" s="88" t="str">
        <f t="shared" si="3398"/>
        <v/>
      </c>
      <c r="FT145" s="88" t="str">
        <f t="shared" si="3398"/>
        <v/>
      </c>
      <c r="FU145" s="88" t="str">
        <f t="shared" si="3398"/>
        <v/>
      </c>
      <c r="FV145" s="88" t="str">
        <f t="shared" si="3398"/>
        <v/>
      </c>
      <c r="FW145" s="88" t="str">
        <f t="shared" si="3398"/>
        <v/>
      </c>
      <c r="FX145" s="88" t="str">
        <f t="shared" si="3398"/>
        <v/>
      </c>
      <c r="FY145" s="88" t="str">
        <f t="shared" si="3398"/>
        <v/>
      </c>
      <c r="FZ145" s="88" t="str">
        <f t="shared" si="3398"/>
        <v/>
      </c>
      <c r="GA145" s="88" t="str">
        <f t="shared" si="3398"/>
        <v/>
      </c>
      <c r="GB145" s="88" t="str">
        <f t="shared" si="3398"/>
        <v/>
      </c>
      <c r="GC145" s="88" t="str">
        <f t="shared" si="3398"/>
        <v/>
      </c>
      <c r="GD145" s="88" t="str">
        <f t="shared" si="3398"/>
        <v/>
      </c>
      <c r="GE145" s="88" t="str">
        <f t="shared" si="3398"/>
        <v/>
      </c>
      <c r="GF145" s="88" t="str">
        <f t="shared" si="3398"/>
        <v/>
      </c>
      <c r="GG145" s="88" t="str">
        <f t="shared" si="3398"/>
        <v/>
      </c>
      <c r="GH145" s="88" t="str">
        <f t="shared" si="3398"/>
        <v/>
      </c>
      <c r="GI145" s="88" t="str">
        <f t="shared" si="3398"/>
        <v/>
      </c>
      <c r="GJ145" s="88" t="str">
        <f t="shared" si="3398"/>
        <v/>
      </c>
      <c r="GK145" s="88" t="str">
        <f t="shared" si="3398"/>
        <v/>
      </c>
      <c r="GL145" s="88" t="str">
        <f t="shared" si="3398"/>
        <v/>
      </c>
      <c r="GM145" s="88" t="str">
        <f t="shared" si="3398"/>
        <v/>
      </c>
      <c r="GN145" s="88" t="str">
        <f t="shared" si="3398"/>
        <v/>
      </c>
      <c r="GO145" s="88" t="str">
        <f t="shared" si="3398"/>
        <v/>
      </c>
      <c r="GP145" s="88" t="str">
        <f t="shared" si="3398"/>
        <v/>
      </c>
      <c r="GQ145" s="88" t="str">
        <f t="shared" si="3398"/>
        <v/>
      </c>
      <c r="GR145" s="88" t="str">
        <f t="shared" si="3398"/>
        <v/>
      </c>
      <c r="GS145" s="88" t="str">
        <f t="shared" si="3398"/>
        <v/>
      </c>
      <c r="GT145" s="88" t="str">
        <f t="shared" si="3398"/>
        <v/>
      </c>
      <c r="GU145" s="88" t="str">
        <f t="shared" si="3398"/>
        <v/>
      </c>
    </row>
    <row r="146" spans="143:203" x14ac:dyDescent="0.35">
      <c r="EM146" s="91"/>
      <c r="EN146" s="91"/>
      <c r="FQ146" s="88"/>
      <c r="FR146" s="88" t="str">
        <f t="shared" ref="FR146:GU146" si="3399">IFERROR(IF(LEFT(FR143,FIND("*",FR143)-1)=LEFT($FQ$73,FIND("*",$FQ$73)-1),0.5,""),"")</f>
        <v/>
      </c>
      <c r="FS146" s="88" t="str">
        <f t="shared" si="3399"/>
        <v/>
      </c>
      <c r="FT146" s="88" t="str">
        <f t="shared" si="3399"/>
        <v/>
      </c>
      <c r="FU146" s="88" t="str">
        <f t="shared" si="3399"/>
        <v/>
      </c>
      <c r="FV146" s="88" t="str">
        <f t="shared" si="3399"/>
        <v/>
      </c>
      <c r="FW146" s="88" t="str">
        <f t="shared" si="3399"/>
        <v/>
      </c>
      <c r="FX146" s="88" t="str">
        <f t="shared" si="3399"/>
        <v/>
      </c>
      <c r="FY146" s="88" t="str">
        <f t="shared" si="3399"/>
        <v/>
      </c>
      <c r="FZ146" s="88" t="str">
        <f t="shared" si="3399"/>
        <v/>
      </c>
      <c r="GA146" s="88" t="str">
        <f t="shared" si="3399"/>
        <v/>
      </c>
      <c r="GB146" s="88" t="str">
        <f t="shared" si="3399"/>
        <v/>
      </c>
      <c r="GC146" s="88" t="str">
        <f t="shared" si="3399"/>
        <v/>
      </c>
      <c r="GD146" s="88" t="str">
        <f t="shared" si="3399"/>
        <v/>
      </c>
      <c r="GE146" s="88" t="str">
        <f t="shared" si="3399"/>
        <v/>
      </c>
      <c r="GF146" s="88" t="str">
        <f t="shared" si="3399"/>
        <v/>
      </c>
      <c r="GG146" s="88" t="str">
        <f t="shared" si="3399"/>
        <v/>
      </c>
      <c r="GH146" s="88" t="str">
        <f t="shared" si="3399"/>
        <v/>
      </c>
      <c r="GI146" s="88" t="str">
        <f t="shared" si="3399"/>
        <v/>
      </c>
      <c r="GJ146" s="88" t="str">
        <f t="shared" si="3399"/>
        <v/>
      </c>
      <c r="GK146" s="88" t="str">
        <f t="shared" si="3399"/>
        <v/>
      </c>
      <c r="GL146" s="88" t="str">
        <f t="shared" si="3399"/>
        <v/>
      </c>
      <c r="GM146" s="88" t="str">
        <f t="shared" si="3399"/>
        <v/>
      </c>
      <c r="GN146" s="88" t="str">
        <f t="shared" si="3399"/>
        <v/>
      </c>
      <c r="GO146" s="88" t="str">
        <f t="shared" si="3399"/>
        <v/>
      </c>
      <c r="GP146" s="88" t="str">
        <f t="shared" si="3399"/>
        <v/>
      </c>
      <c r="GQ146" s="88" t="str">
        <f t="shared" si="3399"/>
        <v/>
      </c>
      <c r="GR146" s="88" t="str">
        <f t="shared" si="3399"/>
        <v/>
      </c>
      <c r="GS146" s="88" t="str">
        <f t="shared" si="3399"/>
        <v/>
      </c>
      <c r="GT146" s="88" t="str">
        <f t="shared" si="3399"/>
        <v/>
      </c>
      <c r="GU146" s="88" t="str">
        <f t="shared" si="3399"/>
        <v/>
      </c>
    </row>
    <row r="147" spans="143:203" x14ac:dyDescent="0.35">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Q147" s="88"/>
      <c r="FR147" s="88"/>
      <c r="FS147" s="88"/>
      <c r="FT147" s="88"/>
      <c r="FU147" s="88"/>
      <c r="FV147" s="88"/>
      <c r="FW147" s="88"/>
      <c r="FX147" s="88"/>
      <c r="FY147" s="88"/>
      <c r="FZ147" s="88"/>
      <c r="GA147" s="88"/>
      <c r="GB147" s="88"/>
      <c r="GC147" s="88"/>
      <c r="GD147" s="88"/>
      <c r="GE147" s="88"/>
      <c r="GF147" s="88"/>
      <c r="GG147" s="88"/>
      <c r="GH147" s="88"/>
      <c r="GI147" s="88"/>
      <c r="GJ147" s="88"/>
      <c r="GK147" s="88"/>
      <c r="GL147" s="88"/>
      <c r="GM147" s="88"/>
      <c r="GN147" s="88"/>
      <c r="GO147" s="88"/>
      <c r="GP147" s="88"/>
      <c r="GQ147" s="88"/>
      <c r="GR147" s="88"/>
      <c r="GS147" s="88"/>
      <c r="GT147" s="88"/>
      <c r="GU147" s="88"/>
    </row>
    <row r="148" spans="143:203" x14ac:dyDescent="0.35">
      <c r="EM148" s="91"/>
      <c r="EN148" s="91"/>
      <c r="FO148" s="91">
        <v>30</v>
      </c>
      <c r="FP148" s="88" t="str">
        <f t="shared" ref="FP148" si="3400">IF(SUM(FR151:GU151)&gt;2,FQ148,"")</f>
        <v/>
      </c>
      <c r="FQ148" s="88" t="str" cm="1">
        <f t="array" ref="FQ148">IF(SUM(FR150:GU150)&gt;0,_xlfn.LET(_xlpm.area,FR148:GU148,_xlpm.texts,_xlfn.UNIQUE(_xlfn._xlws.FILTER(_xlpm.area,_xlpm.area&lt;&gt;"")),_xlpm.number,COUNTIF(_xlpm.area,_xlpm.texts),INDEX(_xlpm.texts,MATCH(MAX(_xlpm.number),_xlpm.number,0))),"")</f>
        <v/>
      </c>
      <c r="FR148" s="88" cm="1">
        <f t="array" ref="FR148">_xlfn.LET(_xlpm.rad,$FO148+1,_xlpm.typ,INDEX($E$20:$E$68,_xlpm.rad),_xlpm.kod,INDEX(J$19:J$68,_xlpm.rad),IFERROR(IF(AND(_xlpm.typ="H",_xlpm.kod&lt;&gt;""),UPPER(_xlpm.kod),FR$18),FR$18))</f>
        <v>1</v>
      </c>
      <c r="FS148" s="88" cm="1">
        <f t="array" ref="FS148">_xlfn.LET(_xlpm.rad,$FO148+1,_xlpm.typ,INDEX($E$20:$E$68,_xlpm.rad),_xlpm.kod,INDEX(K$19:K$68,_xlpm.rad),IFERROR(IF(AND(_xlpm.typ="H",_xlpm.kod&lt;&gt;""),UPPER(_xlpm.kod),FS$18),FS$18))</f>
        <v>2</v>
      </c>
      <c r="FT148" s="88" cm="1">
        <f t="array" ref="FT148">_xlfn.LET(_xlpm.rad,$FO148+1,_xlpm.typ,INDEX($E$20:$E$68,_xlpm.rad),_xlpm.kod,INDEX(L$19:L$68,_xlpm.rad),IFERROR(IF(AND(_xlpm.typ="H",_xlpm.kod&lt;&gt;""),UPPER(_xlpm.kod),FT$18),FT$18))</f>
        <v>3</v>
      </c>
      <c r="FU148" s="88" cm="1">
        <f t="array" ref="FU148">_xlfn.LET(_xlpm.rad,$FO148+1,_xlpm.typ,INDEX($E$20:$E$68,_xlpm.rad),_xlpm.kod,INDEX(M$19:M$68,_xlpm.rad),IFERROR(IF(AND(_xlpm.typ="H",_xlpm.kod&lt;&gt;""),UPPER(_xlpm.kod),FU$18),FU$18))</f>
        <v>4</v>
      </c>
      <c r="FV148" s="88" cm="1">
        <f t="array" ref="FV148">_xlfn.LET(_xlpm.rad,$FO148+1,_xlpm.typ,INDEX($E$20:$E$68,_xlpm.rad),_xlpm.kod,INDEX(N$19:N$68,_xlpm.rad),IFERROR(IF(AND(_xlpm.typ="H",_xlpm.kod&lt;&gt;""),UPPER(_xlpm.kod),FV$18),FV$18))</f>
        <v>5</v>
      </c>
      <c r="FW148" s="88" cm="1">
        <f t="array" ref="FW148">_xlfn.LET(_xlpm.rad,$FO148+1,_xlpm.typ,INDEX($E$20:$E$68,_xlpm.rad),_xlpm.kod,INDEX(O$19:O$68,_xlpm.rad),IFERROR(IF(AND(_xlpm.typ="H",_xlpm.kod&lt;&gt;""),UPPER(_xlpm.kod),FW$18),FW$18))</f>
        <v>6</v>
      </c>
      <c r="FX148" s="88" cm="1">
        <f t="array" ref="FX148">_xlfn.LET(_xlpm.rad,$FO148+1,_xlpm.typ,INDEX($E$20:$E$68,_xlpm.rad),_xlpm.kod,INDEX(P$19:P$68,_xlpm.rad),IFERROR(IF(AND(_xlpm.typ="H",_xlpm.kod&lt;&gt;""),UPPER(_xlpm.kod),FX$18),FX$18))</f>
        <v>7</v>
      </c>
      <c r="FY148" s="88" cm="1">
        <f t="array" ref="FY148">_xlfn.LET(_xlpm.rad,$FO148+1,_xlpm.typ,INDEX($E$20:$E$68,_xlpm.rad),_xlpm.kod,INDEX(Q$19:Q$68,_xlpm.rad),IFERROR(IF(AND(_xlpm.typ="H",_xlpm.kod&lt;&gt;""),UPPER(_xlpm.kod),FY$18),FY$18))</f>
        <v>8</v>
      </c>
      <c r="FZ148" s="88" cm="1">
        <f t="array" ref="FZ148">_xlfn.LET(_xlpm.rad,$FO148+1,_xlpm.typ,INDEX($E$20:$E$68,_xlpm.rad),_xlpm.kod,INDEX(R$19:R$68,_xlpm.rad),IFERROR(IF(AND(_xlpm.typ="H",_xlpm.kod&lt;&gt;""),UPPER(_xlpm.kod),FZ$18),FZ$18))</f>
        <v>9</v>
      </c>
      <c r="GA148" s="88" cm="1">
        <f t="array" ref="GA148">_xlfn.LET(_xlpm.rad,$FO148+1,_xlpm.typ,INDEX($E$20:$E$68,_xlpm.rad),_xlpm.kod,INDEX(S$19:S$68,_xlpm.rad),IFERROR(IF(AND(_xlpm.typ="H",_xlpm.kod&lt;&gt;""),UPPER(_xlpm.kod),GA$18),GA$18))</f>
        <v>10</v>
      </c>
      <c r="GB148" s="88" cm="1">
        <f t="array" ref="GB148">_xlfn.LET(_xlpm.rad,$FO148+1,_xlpm.typ,INDEX($E$20:$E$68,_xlpm.rad),_xlpm.kod,INDEX(T$19:T$68,_xlpm.rad),IFERROR(IF(AND(_xlpm.typ="H",_xlpm.kod&lt;&gt;""),UPPER(_xlpm.kod),GB$18),GB$18))</f>
        <v>11</v>
      </c>
      <c r="GC148" s="88" cm="1">
        <f t="array" ref="GC148">_xlfn.LET(_xlpm.rad,$FO148+1,_xlpm.typ,INDEX($E$20:$E$68,_xlpm.rad),_xlpm.kod,INDEX(U$19:U$68,_xlpm.rad),IFERROR(IF(AND(_xlpm.typ="H",_xlpm.kod&lt;&gt;""),UPPER(_xlpm.kod),GC$18),GC$18))</f>
        <v>12</v>
      </c>
      <c r="GD148" s="88" cm="1">
        <f t="array" ref="GD148">_xlfn.LET(_xlpm.rad,$FO148+1,_xlpm.typ,INDEX($E$20:$E$68,_xlpm.rad),_xlpm.kod,INDEX(V$19:V$68,_xlpm.rad),IFERROR(IF(AND(_xlpm.typ="H",_xlpm.kod&lt;&gt;""),UPPER(_xlpm.kod),GD$18),GD$18))</f>
        <v>13</v>
      </c>
      <c r="GE148" s="88" cm="1">
        <f t="array" ref="GE148">_xlfn.LET(_xlpm.rad,$FO148+1,_xlpm.typ,INDEX($E$20:$E$68,_xlpm.rad),_xlpm.kod,INDEX(W$19:W$68,_xlpm.rad),IFERROR(IF(AND(_xlpm.typ="H",_xlpm.kod&lt;&gt;""),UPPER(_xlpm.kod),GE$18),GE$18))</f>
        <v>14</v>
      </c>
      <c r="GF148" s="88" cm="1">
        <f t="array" ref="GF148">_xlfn.LET(_xlpm.rad,$FO148+1,_xlpm.typ,INDEX($E$20:$E$68,_xlpm.rad),_xlpm.kod,INDEX(X$19:X$68,_xlpm.rad),IFERROR(IF(AND(_xlpm.typ="H",_xlpm.kod&lt;&gt;""),UPPER(_xlpm.kod),GF$18),GF$18))</f>
        <v>15</v>
      </c>
      <c r="GG148" s="88" cm="1">
        <f t="array" ref="GG148">_xlfn.LET(_xlpm.rad,$FO148+1,_xlpm.typ,INDEX($E$20:$E$68,_xlpm.rad),_xlpm.kod,INDEX(Y$19:Y$68,_xlpm.rad),IFERROR(IF(AND(_xlpm.typ="H",_xlpm.kod&lt;&gt;""),UPPER(_xlpm.kod),GG$18),GG$18))</f>
        <v>16</v>
      </c>
      <c r="GH148" s="88" cm="1">
        <f t="array" ref="GH148">_xlfn.LET(_xlpm.rad,$FO148+1,_xlpm.typ,INDEX($E$20:$E$68,_xlpm.rad),_xlpm.kod,INDEX(Z$19:Z$68,_xlpm.rad),IFERROR(IF(AND(_xlpm.typ="H",_xlpm.kod&lt;&gt;""),UPPER(_xlpm.kod),GH$18),GH$18))</f>
        <v>17</v>
      </c>
      <c r="GI148" s="88" cm="1">
        <f t="array" ref="GI148">_xlfn.LET(_xlpm.rad,$FO148+1,_xlpm.typ,INDEX($E$20:$E$68,_xlpm.rad),_xlpm.kod,INDEX(AA$19:AA$68,_xlpm.rad),IFERROR(IF(AND(_xlpm.typ="H",_xlpm.kod&lt;&gt;""),UPPER(_xlpm.kod),GI$18),GI$18))</f>
        <v>18</v>
      </c>
      <c r="GJ148" s="88" cm="1">
        <f t="array" ref="GJ148">_xlfn.LET(_xlpm.rad,$FO148+1,_xlpm.typ,INDEX($E$20:$E$68,_xlpm.rad),_xlpm.kod,INDEX(AB$19:AB$68,_xlpm.rad),IFERROR(IF(AND(_xlpm.typ="H",_xlpm.kod&lt;&gt;""),UPPER(_xlpm.kod),GJ$18),GJ$18))</f>
        <v>19</v>
      </c>
      <c r="GK148" s="88" cm="1">
        <f t="array" ref="GK148">_xlfn.LET(_xlpm.rad,$FO148+1,_xlpm.typ,INDEX($E$20:$E$68,_xlpm.rad),_xlpm.kod,INDEX(AC$19:AC$68,_xlpm.rad),IFERROR(IF(AND(_xlpm.typ="H",_xlpm.kod&lt;&gt;""),UPPER(_xlpm.kod),GK$18),GK$18))</f>
        <v>20</v>
      </c>
      <c r="GL148" s="88" cm="1">
        <f t="array" ref="GL148">_xlfn.LET(_xlpm.rad,$FO148+1,_xlpm.typ,INDEX($E$20:$E$68,_xlpm.rad),_xlpm.kod,INDEX(AD$19:AD$68,_xlpm.rad),IFERROR(IF(AND(_xlpm.typ="H",_xlpm.kod&lt;&gt;""),UPPER(_xlpm.kod),GL$18),GL$18))</f>
        <v>21</v>
      </c>
      <c r="GM148" s="88" cm="1">
        <f t="array" ref="GM148">_xlfn.LET(_xlpm.rad,$FO148+1,_xlpm.typ,INDEX($E$20:$E$68,_xlpm.rad),_xlpm.kod,INDEX(AE$19:AE$68,_xlpm.rad),IFERROR(IF(AND(_xlpm.typ="H",_xlpm.kod&lt;&gt;""),UPPER(_xlpm.kod),GM$18),GM$18))</f>
        <v>22</v>
      </c>
      <c r="GN148" s="88" cm="1">
        <f t="array" ref="GN148">_xlfn.LET(_xlpm.rad,$FO148+1,_xlpm.typ,INDEX($E$20:$E$68,_xlpm.rad),_xlpm.kod,INDEX(AF$19:AF$68,_xlpm.rad),IFERROR(IF(AND(_xlpm.typ="H",_xlpm.kod&lt;&gt;""),UPPER(_xlpm.kod),GN$18),GN$18))</f>
        <v>23</v>
      </c>
      <c r="GO148" s="88" cm="1">
        <f t="array" ref="GO148">_xlfn.LET(_xlpm.rad,$FO148+1,_xlpm.typ,INDEX($E$20:$E$68,_xlpm.rad),_xlpm.kod,INDEX(AG$19:AG$68,_xlpm.rad),IFERROR(IF(AND(_xlpm.typ="H",_xlpm.kod&lt;&gt;""),UPPER(_xlpm.kod),GO$18),GO$18))</f>
        <v>24</v>
      </c>
      <c r="GP148" s="88" cm="1">
        <f t="array" ref="GP148">_xlfn.LET(_xlpm.rad,$FO148+1,_xlpm.typ,INDEX($E$20:$E$68,_xlpm.rad),_xlpm.kod,INDEX(AH$19:AH$68,_xlpm.rad),IFERROR(IF(AND(_xlpm.typ="H",_xlpm.kod&lt;&gt;""),UPPER(_xlpm.kod),GP$18),GP$18))</f>
        <v>25</v>
      </c>
      <c r="GQ148" s="88" cm="1">
        <f t="array" ref="GQ148">_xlfn.LET(_xlpm.rad,$FO148+1,_xlpm.typ,INDEX($E$20:$E$68,_xlpm.rad),_xlpm.kod,INDEX(AI$19:AI$68,_xlpm.rad),IFERROR(IF(AND(_xlpm.typ="H",_xlpm.kod&lt;&gt;""),UPPER(_xlpm.kod),GQ$18),GQ$18))</f>
        <v>26</v>
      </c>
      <c r="GR148" s="88" cm="1">
        <f t="array" ref="GR148">_xlfn.LET(_xlpm.rad,$FO148+1,_xlpm.typ,INDEX($E$20:$E$68,_xlpm.rad),_xlpm.kod,INDEX(AJ$19:AJ$68,_xlpm.rad),IFERROR(IF(AND(_xlpm.typ="H",_xlpm.kod&lt;&gt;""),UPPER(_xlpm.kod),GR$18),GR$18))</f>
        <v>27</v>
      </c>
      <c r="GS148" s="88" cm="1">
        <f t="array" ref="GS148">_xlfn.LET(_xlpm.rad,$FO148+1,_xlpm.typ,INDEX($E$20:$E$68,_xlpm.rad),_xlpm.kod,INDEX(AK$19:AK$68,_xlpm.rad),IFERROR(IF(AND(_xlpm.typ="H",_xlpm.kod&lt;&gt;""),UPPER(_xlpm.kod),GS$18),GS$18))</f>
        <v>28</v>
      </c>
      <c r="GT148" s="88" cm="1">
        <f t="array" ref="GT148">_xlfn.LET(_xlpm.rad,$FO148+1,_xlpm.typ,INDEX($E$20:$E$68,_xlpm.rad),_xlpm.kod,INDEX(AL$19:AL$68,_xlpm.rad),IFERROR(IF(AND(_xlpm.typ="H",_xlpm.kod&lt;&gt;""),UPPER(_xlpm.kod),GT$18),GT$18))</f>
        <v>29</v>
      </c>
      <c r="GU148" s="88" cm="1">
        <f t="array" ref="GU148">_xlfn.LET(_xlpm.rad,$FO148+1,_xlpm.typ,INDEX($E$20:$E$68,_xlpm.rad),_xlpm.kod,INDEX(AM$19:AM$68,_xlpm.rad),IFERROR(IF(AND(_xlpm.typ="H",_xlpm.kod&lt;&gt;""),UPPER(_xlpm.kod),GU$18),GU$18))</f>
        <v>30</v>
      </c>
    </row>
    <row r="149" spans="143:203" x14ac:dyDescent="0.35">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R149" s="88" cm="1">
        <f t="array" ref="FR149">_xlfn.LET(_xlpm.rad,$FO148+1,_xlpm.typ,INDEX($E$20:$E$68,_xlpm.rad),_xlpm.kod,INDEX(J$19:J$68,_xlpm.rad),_xlpm.del,INDEX($F$19:$F$68,_xlpm.rad),IFERROR(IF(AND(_xlpm.typ="H",_xlpm.kod&lt;&gt;"",_xlpm.del&lt;&gt;"Hybrid - Thrust + 2 connections"),INDEX(Hyb_Tech,MATCH(_xlpm.kod,Hyb_Code,0)),FR$72),FR$72))</f>
        <v>1</v>
      </c>
      <c r="FS149" s="88" cm="1">
        <f t="array" ref="FS149">_xlfn.LET(_xlpm.rad,$FO148+1,_xlpm.typ,INDEX($E$20:$E$68,_xlpm.rad),_xlpm.kod,INDEX(K$19:K$68,_xlpm.rad),_xlpm.del,INDEX($F$19:$F$68,_xlpm.rad),IFERROR(IF(AND(_xlpm.typ="H",_xlpm.kod&lt;&gt;"",_xlpm.del&lt;&gt;"Hybrid - Thrust + 2 connections"),INDEX(Hyb_Tech,MATCH(_xlpm.kod,Hyb_Code,0)),FS$72),FS$72))</f>
        <v>2</v>
      </c>
      <c r="FT149" s="88" cm="1">
        <f t="array" ref="FT149">_xlfn.LET(_xlpm.rad,$FO148+1,_xlpm.typ,INDEX($E$20:$E$68,_xlpm.rad),_xlpm.kod,INDEX(L$19:L$68,_xlpm.rad),_xlpm.del,INDEX($F$19:$F$68,_xlpm.rad),IFERROR(IF(AND(_xlpm.typ="H",_xlpm.kod&lt;&gt;"",_xlpm.del&lt;&gt;"Hybrid - Thrust + 2 connections"),INDEX(Hyb_Tech,MATCH(_xlpm.kod,Hyb_Code,0)),FT$72),FT$72))</f>
        <v>3</v>
      </c>
      <c r="FU149" s="88" cm="1">
        <f t="array" ref="FU149">_xlfn.LET(_xlpm.rad,$FO148+1,_xlpm.typ,INDEX($E$20:$E$68,_xlpm.rad),_xlpm.kod,INDEX(M$19:M$68,_xlpm.rad),_xlpm.del,INDEX($F$19:$F$68,_xlpm.rad),IFERROR(IF(AND(_xlpm.typ="H",_xlpm.kod&lt;&gt;"",_xlpm.del&lt;&gt;"Hybrid - Thrust + 2 connections"),INDEX(Hyb_Tech,MATCH(_xlpm.kod,Hyb_Code,0)),FU$72),FU$72))</f>
        <v>4</v>
      </c>
      <c r="FV149" s="88" cm="1">
        <f t="array" ref="FV149">_xlfn.LET(_xlpm.rad,$FO148+1,_xlpm.typ,INDEX($E$20:$E$68,_xlpm.rad),_xlpm.kod,INDEX(N$19:N$68,_xlpm.rad),_xlpm.del,INDEX($F$19:$F$68,_xlpm.rad),IFERROR(IF(AND(_xlpm.typ="H",_xlpm.kod&lt;&gt;"",_xlpm.del&lt;&gt;"Hybrid - Thrust + 2 connections"),INDEX(Hyb_Tech,MATCH(_xlpm.kod,Hyb_Code,0)),FV$72),FV$72))</f>
        <v>5</v>
      </c>
      <c r="FW149" s="88" cm="1">
        <f t="array" ref="FW149">_xlfn.LET(_xlpm.rad,$FO148+1,_xlpm.typ,INDEX($E$20:$E$68,_xlpm.rad),_xlpm.kod,INDEX(O$19:O$68,_xlpm.rad),_xlpm.del,INDEX($F$19:$F$68,_xlpm.rad),IFERROR(IF(AND(_xlpm.typ="H",_xlpm.kod&lt;&gt;"",_xlpm.del&lt;&gt;"Hybrid - Thrust + 2 connections"),INDEX(Hyb_Tech,MATCH(_xlpm.kod,Hyb_Code,0)),FW$72),FW$72))</f>
        <v>6</v>
      </c>
      <c r="FX149" s="88" cm="1">
        <f t="array" ref="FX149">_xlfn.LET(_xlpm.rad,$FO148+1,_xlpm.typ,INDEX($E$20:$E$68,_xlpm.rad),_xlpm.kod,INDEX(P$19:P$68,_xlpm.rad),_xlpm.del,INDEX($F$19:$F$68,_xlpm.rad),IFERROR(IF(AND(_xlpm.typ="H",_xlpm.kod&lt;&gt;"",_xlpm.del&lt;&gt;"Hybrid - Thrust + 2 connections"),INDEX(Hyb_Tech,MATCH(_xlpm.kod,Hyb_Code,0)),FX$72),FX$72))</f>
        <v>7</v>
      </c>
      <c r="FY149" s="88" cm="1">
        <f t="array" ref="FY149">_xlfn.LET(_xlpm.rad,$FO148+1,_xlpm.typ,INDEX($E$20:$E$68,_xlpm.rad),_xlpm.kod,INDEX(Q$19:Q$68,_xlpm.rad),_xlpm.del,INDEX($F$19:$F$68,_xlpm.rad),IFERROR(IF(AND(_xlpm.typ="H",_xlpm.kod&lt;&gt;"",_xlpm.del&lt;&gt;"Hybrid - Thrust + 2 connections"),INDEX(Hyb_Tech,MATCH(_xlpm.kod,Hyb_Code,0)),FY$72),FY$72))</f>
        <v>8</v>
      </c>
      <c r="FZ149" s="88" cm="1">
        <f t="array" ref="FZ149">_xlfn.LET(_xlpm.rad,$FO148+1,_xlpm.typ,INDEX($E$20:$E$68,_xlpm.rad),_xlpm.kod,INDEX(R$19:R$68,_xlpm.rad),_xlpm.del,INDEX($F$19:$F$68,_xlpm.rad),IFERROR(IF(AND(_xlpm.typ="H",_xlpm.kod&lt;&gt;"",_xlpm.del&lt;&gt;"Hybrid - Thrust + 2 connections"),INDEX(Hyb_Tech,MATCH(_xlpm.kod,Hyb_Code,0)),FZ$72),FZ$72))</f>
        <v>9</v>
      </c>
      <c r="GA149" s="88" cm="1">
        <f t="array" ref="GA149">_xlfn.LET(_xlpm.rad,$FO148+1,_xlpm.typ,INDEX($E$20:$E$68,_xlpm.rad),_xlpm.kod,INDEX(S$19:S$68,_xlpm.rad),_xlpm.del,INDEX($F$19:$F$68,_xlpm.rad),IFERROR(IF(AND(_xlpm.typ="H",_xlpm.kod&lt;&gt;"",_xlpm.del&lt;&gt;"Hybrid - Thrust + 2 connections"),INDEX(Hyb_Tech,MATCH(_xlpm.kod,Hyb_Code,0)),GA$72),GA$72))</f>
        <v>10</v>
      </c>
      <c r="GB149" s="88" cm="1">
        <f t="array" ref="GB149">_xlfn.LET(_xlpm.rad,$FO148+1,_xlpm.typ,INDEX($E$20:$E$68,_xlpm.rad),_xlpm.kod,INDEX(T$19:T$68,_xlpm.rad),_xlpm.del,INDEX($F$19:$F$68,_xlpm.rad),IFERROR(IF(AND(_xlpm.typ="H",_xlpm.kod&lt;&gt;"",_xlpm.del&lt;&gt;"Hybrid - Thrust + 2 connections"),INDEX(Hyb_Tech,MATCH(_xlpm.kod,Hyb_Code,0)),GB$72),GB$72))</f>
        <v>11</v>
      </c>
      <c r="GC149" s="88" cm="1">
        <f t="array" ref="GC149">_xlfn.LET(_xlpm.rad,$FO148+1,_xlpm.typ,INDEX($E$20:$E$68,_xlpm.rad),_xlpm.kod,INDEX(U$19:U$68,_xlpm.rad),_xlpm.del,INDEX($F$19:$F$68,_xlpm.rad),IFERROR(IF(AND(_xlpm.typ="H",_xlpm.kod&lt;&gt;"",_xlpm.del&lt;&gt;"Hybrid - Thrust + 2 connections"),INDEX(Hyb_Tech,MATCH(_xlpm.kod,Hyb_Code,0)),GC$72),GC$72))</f>
        <v>12</v>
      </c>
      <c r="GD149" s="88" cm="1">
        <f t="array" ref="GD149">_xlfn.LET(_xlpm.rad,$FO148+1,_xlpm.typ,INDEX($E$20:$E$68,_xlpm.rad),_xlpm.kod,INDEX(V$19:V$68,_xlpm.rad),_xlpm.del,INDEX($F$19:$F$68,_xlpm.rad),IFERROR(IF(AND(_xlpm.typ="H",_xlpm.kod&lt;&gt;"",_xlpm.del&lt;&gt;"Hybrid - Thrust + 2 connections"),INDEX(Hyb_Tech,MATCH(_xlpm.kod,Hyb_Code,0)),GD$72),GD$72))</f>
        <v>13</v>
      </c>
      <c r="GE149" s="88" cm="1">
        <f t="array" ref="GE149">_xlfn.LET(_xlpm.rad,$FO148+1,_xlpm.typ,INDEX($E$20:$E$68,_xlpm.rad),_xlpm.kod,INDEX(W$19:W$68,_xlpm.rad),_xlpm.del,INDEX($F$19:$F$68,_xlpm.rad),IFERROR(IF(AND(_xlpm.typ="H",_xlpm.kod&lt;&gt;"",_xlpm.del&lt;&gt;"Hybrid - Thrust + 2 connections"),INDEX(Hyb_Tech,MATCH(_xlpm.kod,Hyb_Code,0)),GE$72),GE$72))</f>
        <v>14</v>
      </c>
      <c r="GF149" s="88" cm="1">
        <f t="array" ref="GF149">_xlfn.LET(_xlpm.rad,$FO148+1,_xlpm.typ,INDEX($E$20:$E$68,_xlpm.rad),_xlpm.kod,INDEX(X$19:X$68,_xlpm.rad),_xlpm.del,INDEX($F$19:$F$68,_xlpm.rad),IFERROR(IF(AND(_xlpm.typ="H",_xlpm.kod&lt;&gt;"",_xlpm.del&lt;&gt;"Hybrid - Thrust + 2 connections"),INDEX(Hyb_Tech,MATCH(_xlpm.kod,Hyb_Code,0)),GF$72),GF$72))</f>
        <v>15</v>
      </c>
      <c r="GG149" s="88" cm="1">
        <f t="array" ref="GG149">_xlfn.LET(_xlpm.rad,$FO148+1,_xlpm.typ,INDEX($E$20:$E$68,_xlpm.rad),_xlpm.kod,INDEX(Y$19:Y$68,_xlpm.rad),_xlpm.del,INDEX($F$19:$F$68,_xlpm.rad),IFERROR(IF(AND(_xlpm.typ="H",_xlpm.kod&lt;&gt;"",_xlpm.del&lt;&gt;"Hybrid - Thrust + 2 connections"),INDEX(Hyb_Tech,MATCH(_xlpm.kod,Hyb_Code,0)),GG$72),GG$72))</f>
        <v>16</v>
      </c>
      <c r="GH149" s="88" cm="1">
        <f t="array" ref="GH149">_xlfn.LET(_xlpm.rad,$FO148+1,_xlpm.typ,INDEX($E$20:$E$68,_xlpm.rad),_xlpm.kod,INDEX(Z$19:Z$68,_xlpm.rad),_xlpm.del,INDEX($F$19:$F$68,_xlpm.rad),IFERROR(IF(AND(_xlpm.typ="H",_xlpm.kod&lt;&gt;"",_xlpm.del&lt;&gt;"Hybrid - Thrust + 2 connections"),INDEX(Hyb_Tech,MATCH(_xlpm.kod,Hyb_Code,0)),GH$72),GH$72))</f>
        <v>17</v>
      </c>
      <c r="GI149" s="88" cm="1">
        <f t="array" ref="GI149">_xlfn.LET(_xlpm.rad,$FO148+1,_xlpm.typ,INDEX($E$20:$E$68,_xlpm.rad),_xlpm.kod,INDEX(AA$19:AA$68,_xlpm.rad),_xlpm.del,INDEX($F$19:$F$68,_xlpm.rad),IFERROR(IF(AND(_xlpm.typ="H",_xlpm.kod&lt;&gt;"",_xlpm.del&lt;&gt;"Hybrid - Thrust + 2 connections"),INDEX(Hyb_Tech,MATCH(_xlpm.kod,Hyb_Code,0)),GI$72),GI$72))</f>
        <v>18</v>
      </c>
      <c r="GJ149" s="88" cm="1">
        <f t="array" ref="GJ149">_xlfn.LET(_xlpm.rad,$FO148+1,_xlpm.typ,INDEX($E$20:$E$68,_xlpm.rad),_xlpm.kod,INDEX(AB$19:AB$68,_xlpm.rad),_xlpm.del,INDEX($F$19:$F$68,_xlpm.rad),IFERROR(IF(AND(_xlpm.typ="H",_xlpm.kod&lt;&gt;"",_xlpm.del&lt;&gt;"Hybrid - Thrust + 2 connections"),INDEX(Hyb_Tech,MATCH(_xlpm.kod,Hyb_Code,0)),GJ$72),GJ$72))</f>
        <v>19</v>
      </c>
      <c r="GK149" s="88" cm="1">
        <f t="array" ref="GK149">_xlfn.LET(_xlpm.rad,$FO148+1,_xlpm.typ,INDEX($E$20:$E$68,_xlpm.rad),_xlpm.kod,INDEX(AC$19:AC$68,_xlpm.rad),_xlpm.del,INDEX($F$19:$F$68,_xlpm.rad),IFERROR(IF(AND(_xlpm.typ="H",_xlpm.kod&lt;&gt;"",_xlpm.del&lt;&gt;"Hybrid - Thrust + 2 connections"),INDEX(Hyb_Tech,MATCH(_xlpm.kod,Hyb_Code,0)),GK$72),GK$72))</f>
        <v>20</v>
      </c>
      <c r="GL149" s="88" cm="1">
        <f t="array" ref="GL149">_xlfn.LET(_xlpm.rad,$FO148+1,_xlpm.typ,INDEX($E$20:$E$68,_xlpm.rad),_xlpm.kod,INDEX(AD$19:AD$68,_xlpm.rad),_xlpm.del,INDEX($F$19:$F$68,_xlpm.rad),IFERROR(IF(AND(_xlpm.typ="H",_xlpm.kod&lt;&gt;"",_xlpm.del&lt;&gt;"Hybrid - Thrust + 2 connections"),INDEX(Hyb_Tech,MATCH(_xlpm.kod,Hyb_Code,0)),GL$72),GL$72))</f>
        <v>21</v>
      </c>
      <c r="GM149" s="88" cm="1">
        <f t="array" ref="GM149">_xlfn.LET(_xlpm.rad,$FO148+1,_xlpm.typ,INDEX($E$20:$E$68,_xlpm.rad),_xlpm.kod,INDEX(AE$19:AE$68,_xlpm.rad),_xlpm.del,INDEX($F$19:$F$68,_xlpm.rad),IFERROR(IF(AND(_xlpm.typ="H",_xlpm.kod&lt;&gt;"",_xlpm.del&lt;&gt;"Hybrid - Thrust + 2 connections"),INDEX(Hyb_Tech,MATCH(_xlpm.kod,Hyb_Code,0)),GM$72),GM$72))</f>
        <v>22</v>
      </c>
      <c r="GN149" s="88" cm="1">
        <f t="array" ref="GN149">_xlfn.LET(_xlpm.rad,$FO148+1,_xlpm.typ,INDEX($E$20:$E$68,_xlpm.rad),_xlpm.kod,INDEX(AF$19:AF$68,_xlpm.rad),_xlpm.del,INDEX($F$19:$F$68,_xlpm.rad),IFERROR(IF(AND(_xlpm.typ="H",_xlpm.kod&lt;&gt;"",_xlpm.del&lt;&gt;"Hybrid - Thrust + 2 connections"),INDEX(Hyb_Tech,MATCH(_xlpm.kod,Hyb_Code,0)),GN$72),GN$72))</f>
        <v>23</v>
      </c>
      <c r="GO149" s="88" cm="1">
        <f t="array" ref="GO149">_xlfn.LET(_xlpm.rad,$FO148+1,_xlpm.typ,INDEX($E$20:$E$68,_xlpm.rad),_xlpm.kod,INDEX(AG$19:AG$68,_xlpm.rad),_xlpm.del,INDEX($F$19:$F$68,_xlpm.rad),IFERROR(IF(AND(_xlpm.typ="H",_xlpm.kod&lt;&gt;"",_xlpm.del&lt;&gt;"Hybrid - Thrust + 2 connections"),INDEX(Hyb_Tech,MATCH(_xlpm.kod,Hyb_Code,0)),GO$72),GO$72))</f>
        <v>24</v>
      </c>
      <c r="GP149" s="88" cm="1">
        <f t="array" ref="GP149">_xlfn.LET(_xlpm.rad,$FO148+1,_xlpm.typ,INDEX($E$20:$E$68,_xlpm.rad),_xlpm.kod,INDEX(AH$19:AH$68,_xlpm.rad),_xlpm.del,INDEX($F$19:$F$68,_xlpm.rad),IFERROR(IF(AND(_xlpm.typ="H",_xlpm.kod&lt;&gt;"",_xlpm.del&lt;&gt;"Hybrid - Thrust + 2 connections"),INDEX(Hyb_Tech,MATCH(_xlpm.kod,Hyb_Code,0)),GP$72),GP$72))</f>
        <v>25</v>
      </c>
      <c r="GQ149" s="88" cm="1">
        <f t="array" ref="GQ149">_xlfn.LET(_xlpm.rad,$FO148+1,_xlpm.typ,INDEX($E$20:$E$68,_xlpm.rad),_xlpm.kod,INDEX(AI$19:AI$68,_xlpm.rad),_xlpm.del,INDEX($F$19:$F$68,_xlpm.rad),IFERROR(IF(AND(_xlpm.typ="H",_xlpm.kod&lt;&gt;"",_xlpm.del&lt;&gt;"Hybrid - Thrust + 2 connections"),INDEX(Hyb_Tech,MATCH(_xlpm.kod,Hyb_Code,0)),GQ$72),GQ$72))</f>
        <v>26</v>
      </c>
      <c r="GR149" s="88" cm="1">
        <f t="array" ref="GR149">_xlfn.LET(_xlpm.rad,$FO148+1,_xlpm.typ,INDEX($E$20:$E$68,_xlpm.rad),_xlpm.kod,INDEX(AJ$19:AJ$68,_xlpm.rad),_xlpm.del,INDEX($F$19:$F$68,_xlpm.rad),IFERROR(IF(AND(_xlpm.typ="H",_xlpm.kod&lt;&gt;"",_xlpm.del&lt;&gt;"Hybrid - Thrust + 2 connections"),INDEX(Hyb_Tech,MATCH(_xlpm.kod,Hyb_Code,0)),GR$72),GR$72))</f>
        <v>27</v>
      </c>
      <c r="GS149" s="88" cm="1">
        <f t="array" ref="GS149">_xlfn.LET(_xlpm.rad,$FO148+1,_xlpm.typ,INDEX($E$20:$E$68,_xlpm.rad),_xlpm.kod,INDEX(AK$19:AK$68,_xlpm.rad),_xlpm.del,INDEX($F$19:$F$68,_xlpm.rad),IFERROR(IF(AND(_xlpm.typ="H",_xlpm.kod&lt;&gt;"",_xlpm.del&lt;&gt;"Hybrid - Thrust + 2 connections"),INDEX(Hyb_Tech,MATCH(_xlpm.kod,Hyb_Code,0)),GS$72),GS$72))</f>
        <v>28</v>
      </c>
      <c r="GT149" s="88" cm="1">
        <f t="array" ref="GT149">_xlfn.LET(_xlpm.rad,$FO148+1,_xlpm.typ,INDEX($E$20:$E$68,_xlpm.rad),_xlpm.kod,INDEX(AL$19:AL$68,_xlpm.rad),_xlpm.del,INDEX($F$19:$F$68,_xlpm.rad),IFERROR(IF(AND(_xlpm.typ="H",_xlpm.kod&lt;&gt;"",_xlpm.del&lt;&gt;"Hybrid - Thrust + 2 connections"),INDEX(Hyb_Tech,MATCH(_xlpm.kod,Hyb_Code,0)),GT$72),GT$72))</f>
        <v>29</v>
      </c>
      <c r="GU149" s="88" cm="1">
        <f t="array" ref="GU149">_xlfn.LET(_xlpm.rad,$FO148+1,_xlpm.typ,INDEX($E$20:$E$68,_xlpm.rad),_xlpm.kod,INDEX(AM$19:AM$68,_xlpm.rad),_xlpm.del,INDEX($F$19:$F$68,_xlpm.rad),IFERROR(IF(AND(_xlpm.typ="H",_xlpm.kod&lt;&gt;"",_xlpm.del&lt;&gt;"Hybrid - Thrust + 2 connections"),INDEX(Hyb_Tech,MATCH(_xlpm.kod,Hyb_Code,0)),GU$72),GU$72))</f>
        <v>30</v>
      </c>
    </row>
    <row r="150" spans="143:203" x14ac:dyDescent="0.35">
      <c r="EM150" s="91"/>
      <c r="EN150" s="91"/>
      <c r="FP150" s="91" t="str" cm="1">
        <f t="array" ref="FP150">IFERROR(IF($T$5="",IF(COUNTIF(FR150:GU150,1)&gt;$FP$18,INDEX($FR$73:$GU$170,$FO148*5/2+1,MATCH(1,FR150:GU150,0)),""),IF(SUM(FR150:GU150)&gt;2,INDEX($FR$73:$GU$170,$FO148*5/2+1,MATCH(1,FR150:GU150,0)),"")),"")</f>
        <v/>
      </c>
      <c r="FQ150" s="88" t="str" cm="1">
        <f t="array" ref="FQ150">IFERROR(IF(LEFT(FP150,1)="C",IF(RIGHT(FP150,1)="+",LEFT(FP150,LEN(FP150)-1),CONCATENATE(FP150,"+")),IF(SUM($FR150:$GU150)&gt;$FP$18,INDEX($FR$73:$GU$170,$FO148*5/2+1,MATCH(0.5,FR150:GU150,0)),"")),"")</f>
        <v/>
      </c>
      <c r="FR150" s="88" t="str">
        <f t="shared" ref="FR150:GU150" si="3401">IF(AND($BV$6="D",LEFT(FR148,1)="C"),IF(COUNTIF($FR149:$GU149,FR149)&gt;$FP$18,INDEX(Hyb_Tech_Value,MATCH(FR148,Hyb_Code,0)),""),IF(COUNTIF($FR149:$GU149,FR149)&gt;$FP$18,INDEX(Hyb_Tech_Value,MATCH(FR148,Hyb_Code,0)),""))</f>
        <v/>
      </c>
      <c r="FS150" s="88" t="str">
        <f t="shared" si="3401"/>
        <v/>
      </c>
      <c r="FT150" s="88" t="str">
        <f t="shared" si="3401"/>
        <v/>
      </c>
      <c r="FU150" s="88" t="str">
        <f t="shared" si="3401"/>
        <v/>
      </c>
      <c r="FV150" s="88" t="str">
        <f t="shared" si="3401"/>
        <v/>
      </c>
      <c r="FW150" s="88" t="str">
        <f t="shared" si="3401"/>
        <v/>
      </c>
      <c r="FX150" s="88" t="str">
        <f t="shared" si="3401"/>
        <v/>
      </c>
      <c r="FY150" s="88" t="str">
        <f t="shared" si="3401"/>
        <v/>
      </c>
      <c r="FZ150" s="88" t="str">
        <f t="shared" si="3401"/>
        <v/>
      </c>
      <c r="GA150" s="88" t="str">
        <f t="shared" si="3401"/>
        <v/>
      </c>
      <c r="GB150" s="88" t="str">
        <f t="shared" si="3401"/>
        <v/>
      </c>
      <c r="GC150" s="88" t="str">
        <f t="shared" si="3401"/>
        <v/>
      </c>
      <c r="GD150" s="88" t="str">
        <f t="shared" si="3401"/>
        <v/>
      </c>
      <c r="GE150" s="88" t="str">
        <f t="shared" si="3401"/>
        <v/>
      </c>
      <c r="GF150" s="88" t="str">
        <f t="shared" si="3401"/>
        <v/>
      </c>
      <c r="GG150" s="88" t="str">
        <f t="shared" si="3401"/>
        <v/>
      </c>
      <c r="GH150" s="88" t="str">
        <f t="shared" si="3401"/>
        <v/>
      </c>
      <c r="GI150" s="88" t="str">
        <f t="shared" si="3401"/>
        <v/>
      </c>
      <c r="GJ150" s="88" t="str">
        <f t="shared" si="3401"/>
        <v/>
      </c>
      <c r="GK150" s="88" t="str">
        <f t="shared" si="3401"/>
        <v/>
      </c>
      <c r="GL150" s="88" t="str">
        <f t="shared" si="3401"/>
        <v/>
      </c>
      <c r="GM150" s="88" t="str">
        <f t="shared" si="3401"/>
        <v/>
      </c>
      <c r="GN150" s="88" t="str">
        <f t="shared" si="3401"/>
        <v/>
      </c>
      <c r="GO150" s="88" t="str">
        <f t="shared" si="3401"/>
        <v/>
      </c>
      <c r="GP150" s="88" t="str">
        <f t="shared" si="3401"/>
        <v/>
      </c>
      <c r="GQ150" s="88" t="str">
        <f t="shared" si="3401"/>
        <v/>
      </c>
      <c r="GR150" s="88" t="str">
        <f t="shared" si="3401"/>
        <v/>
      </c>
      <c r="GS150" s="88" t="str">
        <f t="shared" si="3401"/>
        <v/>
      </c>
      <c r="GT150" s="88" t="str">
        <f t="shared" si="3401"/>
        <v/>
      </c>
      <c r="GU150" s="88" t="str">
        <f t="shared" si="3401"/>
        <v/>
      </c>
    </row>
    <row r="151" spans="143:203" x14ac:dyDescent="0.35">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Q151" s="88"/>
      <c r="FR151" s="88" t="str">
        <f t="shared" ref="FR151:GU151" si="3402">IFERROR(IF(LEFT(FR148,FIND("*",FR148)-1)=LEFT($FQ$73,FIND("*",$FQ$73)-1),0.5,""),"")</f>
        <v/>
      </c>
      <c r="FS151" s="88" t="str">
        <f t="shared" si="3402"/>
        <v/>
      </c>
      <c r="FT151" s="88" t="str">
        <f t="shared" si="3402"/>
        <v/>
      </c>
      <c r="FU151" s="88" t="str">
        <f t="shared" si="3402"/>
        <v/>
      </c>
      <c r="FV151" s="88" t="str">
        <f t="shared" si="3402"/>
        <v/>
      </c>
      <c r="FW151" s="88" t="str">
        <f t="shared" si="3402"/>
        <v/>
      </c>
      <c r="FX151" s="88" t="str">
        <f t="shared" si="3402"/>
        <v/>
      </c>
      <c r="FY151" s="88" t="str">
        <f t="shared" si="3402"/>
        <v/>
      </c>
      <c r="FZ151" s="88" t="str">
        <f t="shared" si="3402"/>
        <v/>
      </c>
      <c r="GA151" s="88" t="str">
        <f t="shared" si="3402"/>
        <v/>
      </c>
      <c r="GB151" s="88" t="str">
        <f t="shared" si="3402"/>
        <v/>
      </c>
      <c r="GC151" s="88" t="str">
        <f t="shared" si="3402"/>
        <v/>
      </c>
      <c r="GD151" s="88" t="str">
        <f t="shared" si="3402"/>
        <v/>
      </c>
      <c r="GE151" s="88" t="str">
        <f t="shared" si="3402"/>
        <v/>
      </c>
      <c r="GF151" s="88" t="str">
        <f t="shared" si="3402"/>
        <v/>
      </c>
      <c r="GG151" s="88" t="str">
        <f t="shared" si="3402"/>
        <v/>
      </c>
      <c r="GH151" s="88" t="str">
        <f t="shared" si="3402"/>
        <v/>
      </c>
      <c r="GI151" s="88" t="str">
        <f t="shared" si="3402"/>
        <v/>
      </c>
      <c r="GJ151" s="88" t="str">
        <f t="shared" si="3402"/>
        <v/>
      </c>
      <c r="GK151" s="88" t="str">
        <f t="shared" si="3402"/>
        <v/>
      </c>
      <c r="GL151" s="88" t="str">
        <f t="shared" si="3402"/>
        <v/>
      </c>
      <c r="GM151" s="88" t="str">
        <f t="shared" si="3402"/>
        <v/>
      </c>
      <c r="GN151" s="88" t="str">
        <f t="shared" si="3402"/>
        <v/>
      </c>
      <c r="GO151" s="88" t="str">
        <f t="shared" si="3402"/>
        <v/>
      </c>
      <c r="GP151" s="88" t="str">
        <f t="shared" si="3402"/>
        <v/>
      </c>
      <c r="GQ151" s="88" t="str">
        <f t="shared" si="3402"/>
        <v/>
      </c>
      <c r="GR151" s="88" t="str">
        <f t="shared" si="3402"/>
        <v/>
      </c>
      <c r="GS151" s="88" t="str">
        <f t="shared" si="3402"/>
        <v/>
      </c>
      <c r="GT151" s="88" t="str">
        <f t="shared" si="3402"/>
        <v/>
      </c>
      <c r="GU151" s="88" t="str">
        <f t="shared" si="3402"/>
        <v/>
      </c>
    </row>
    <row r="152" spans="143:203" x14ac:dyDescent="0.35">
      <c r="EM152" s="91"/>
      <c r="EN152" s="91"/>
      <c r="FQ152" s="88"/>
      <c r="FR152" s="88"/>
      <c r="FS152" s="88"/>
      <c r="FT152" s="88"/>
      <c r="FU152" s="88"/>
      <c r="FV152" s="88"/>
      <c r="FW152" s="88"/>
      <c r="FX152" s="88"/>
      <c r="FY152" s="88"/>
      <c r="FZ152" s="88"/>
      <c r="GA152" s="88"/>
      <c r="GB152" s="88"/>
      <c r="GC152" s="88"/>
      <c r="GD152" s="88"/>
      <c r="GE152" s="88"/>
      <c r="GF152" s="88"/>
      <c r="GG152" s="88"/>
      <c r="GH152" s="88"/>
      <c r="GI152" s="88"/>
      <c r="GJ152" s="88"/>
      <c r="GK152" s="88"/>
      <c r="GL152" s="88"/>
      <c r="GM152" s="88"/>
      <c r="GN152" s="88"/>
      <c r="GO152" s="88"/>
      <c r="GP152" s="88"/>
      <c r="GQ152" s="88"/>
      <c r="GR152" s="88"/>
      <c r="GS152" s="88"/>
      <c r="GT152" s="88"/>
      <c r="GU152" s="88"/>
    </row>
    <row r="153" spans="143:203" x14ac:dyDescent="0.35">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91">
        <v>32</v>
      </c>
      <c r="FP153" s="88" t="str">
        <f t="shared" ref="FP153" si="3403">IF(SUM(FR156:GU156)&gt;2,FQ153,"")</f>
        <v/>
      </c>
      <c r="FQ153" s="88" t="str" cm="1">
        <f t="array" ref="FQ153">IF(SUM(FR155:GU155)&gt;0,_xlfn.LET(_xlpm.area,FR153:GU153,_xlpm.texts,_xlfn.UNIQUE(_xlfn._xlws.FILTER(_xlpm.area,_xlpm.area&lt;&gt;"")),_xlpm.number,COUNTIF(_xlpm.area,_xlpm.texts),INDEX(_xlpm.texts,MATCH(MAX(_xlpm.number),_xlpm.number,0))),"")</f>
        <v/>
      </c>
      <c r="FR153" s="88" cm="1">
        <f t="array" ref="FR153">_xlfn.LET(_xlpm.rad,$FO153+1,_xlpm.typ,INDEX($E$20:$E$68,_xlpm.rad),_xlpm.kod,INDEX(J$19:J$68,_xlpm.rad),IFERROR(IF(AND(_xlpm.typ="H",_xlpm.kod&lt;&gt;""),UPPER(_xlpm.kod),FR$18),FR$18))</f>
        <v>1</v>
      </c>
      <c r="FS153" s="88" cm="1">
        <f t="array" ref="FS153">_xlfn.LET(_xlpm.rad,$FO153+1,_xlpm.typ,INDEX($E$20:$E$68,_xlpm.rad),_xlpm.kod,INDEX(K$19:K$68,_xlpm.rad),IFERROR(IF(AND(_xlpm.typ="H",_xlpm.kod&lt;&gt;""),UPPER(_xlpm.kod),FS$18),FS$18))</f>
        <v>2</v>
      </c>
      <c r="FT153" s="88" cm="1">
        <f t="array" ref="FT153">_xlfn.LET(_xlpm.rad,$FO153+1,_xlpm.typ,INDEX($E$20:$E$68,_xlpm.rad),_xlpm.kod,INDEX(L$19:L$68,_xlpm.rad),IFERROR(IF(AND(_xlpm.typ="H",_xlpm.kod&lt;&gt;""),UPPER(_xlpm.kod),FT$18),FT$18))</f>
        <v>3</v>
      </c>
      <c r="FU153" s="88" cm="1">
        <f t="array" ref="FU153">_xlfn.LET(_xlpm.rad,$FO153+1,_xlpm.typ,INDEX($E$20:$E$68,_xlpm.rad),_xlpm.kod,INDEX(M$19:M$68,_xlpm.rad),IFERROR(IF(AND(_xlpm.typ="H",_xlpm.kod&lt;&gt;""),UPPER(_xlpm.kod),FU$18),FU$18))</f>
        <v>4</v>
      </c>
      <c r="FV153" s="88" cm="1">
        <f t="array" ref="FV153">_xlfn.LET(_xlpm.rad,$FO153+1,_xlpm.typ,INDEX($E$20:$E$68,_xlpm.rad),_xlpm.kod,INDEX(N$19:N$68,_xlpm.rad),IFERROR(IF(AND(_xlpm.typ="H",_xlpm.kod&lt;&gt;""),UPPER(_xlpm.kod),FV$18),FV$18))</f>
        <v>5</v>
      </c>
      <c r="FW153" s="88" cm="1">
        <f t="array" ref="FW153">_xlfn.LET(_xlpm.rad,$FO153+1,_xlpm.typ,INDEX($E$20:$E$68,_xlpm.rad),_xlpm.kod,INDEX(O$19:O$68,_xlpm.rad),IFERROR(IF(AND(_xlpm.typ="H",_xlpm.kod&lt;&gt;""),UPPER(_xlpm.kod),FW$18),FW$18))</f>
        <v>6</v>
      </c>
      <c r="FX153" s="88" cm="1">
        <f t="array" ref="FX153">_xlfn.LET(_xlpm.rad,$FO153+1,_xlpm.typ,INDEX($E$20:$E$68,_xlpm.rad),_xlpm.kod,INDEX(P$19:P$68,_xlpm.rad),IFERROR(IF(AND(_xlpm.typ="H",_xlpm.kod&lt;&gt;""),UPPER(_xlpm.kod),FX$18),FX$18))</f>
        <v>7</v>
      </c>
      <c r="FY153" s="88" cm="1">
        <f t="array" ref="FY153">_xlfn.LET(_xlpm.rad,$FO153+1,_xlpm.typ,INDEX($E$20:$E$68,_xlpm.rad),_xlpm.kod,INDEX(Q$19:Q$68,_xlpm.rad),IFERROR(IF(AND(_xlpm.typ="H",_xlpm.kod&lt;&gt;""),UPPER(_xlpm.kod),FY$18),FY$18))</f>
        <v>8</v>
      </c>
      <c r="FZ153" s="88" cm="1">
        <f t="array" ref="FZ153">_xlfn.LET(_xlpm.rad,$FO153+1,_xlpm.typ,INDEX($E$20:$E$68,_xlpm.rad),_xlpm.kod,INDEX(R$19:R$68,_xlpm.rad),IFERROR(IF(AND(_xlpm.typ="H",_xlpm.kod&lt;&gt;""),UPPER(_xlpm.kod),FZ$18),FZ$18))</f>
        <v>9</v>
      </c>
      <c r="GA153" s="88" cm="1">
        <f t="array" ref="GA153">_xlfn.LET(_xlpm.rad,$FO153+1,_xlpm.typ,INDEX($E$20:$E$68,_xlpm.rad),_xlpm.kod,INDEX(S$19:S$68,_xlpm.rad),IFERROR(IF(AND(_xlpm.typ="H",_xlpm.kod&lt;&gt;""),UPPER(_xlpm.kod),GA$18),GA$18))</f>
        <v>10</v>
      </c>
      <c r="GB153" s="88" cm="1">
        <f t="array" ref="GB153">_xlfn.LET(_xlpm.rad,$FO153+1,_xlpm.typ,INDEX($E$20:$E$68,_xlpm.rad),_xlpm.kod,INDEX(T$19:T$68,_xlpm.rad),IFERROR(IF(AND(_xlpm.typ="H",_xlpm.kod&lt;&gt;""),UPPER(_xlpm.kod),GB$18),GB$18))</f>
        <v>11</v>
      </c>
      <c r="GC153" s="88" cm="1">
        <f t="array" ref="GC153">_xlfn.LET(_xlpm.rad,$FO153+1,_xlpm.typ,INDEX($E$20:$E$68,_xlpm.rad),_xlpm.kod,INDEX(U$19:U$68,_xlpm.rad),IFERROR(IF(AND(_xlpm.typ="H",_xlpm.kod&lt;&gt;""),UPPER(_xlpm.kod),GC$18),GC$18))</f>
        <v>12</v>
      </c>
      <c r="GD153" s="88" cm="1">
        <f t="array" ref="GD153">_xlfn.LET(_xlpm.rad,$FO153+1,_xlpm.typ,INDEX($E$20:$E$68,_xlpm.rad),_xlpm.kod,INDEX(V$19:V$68,_xlpm.rad),IFERROR(IF(AND(_xlpm.typ="H",_xlpm.kod&lt;&gt;""),UPPER(_xlpm.kod),GD$18),GD$18))</f>
        <v>13</v>
      </c>
      <c r="GE153" s="88" cm="1">
        <f t="array" ref="GE153">_xlfn.LET(_xlpm.rad,$FO153+1,_xlpm.typ,INDEX($E$20:$E$68,_xlpm.rad),_xlpm.kod,INDEX(W$19:W$68,_xlpm.rad),IFERROR(IF(AND(_xlpm.typ="H",_xlpm.kod&lt;&gt;""),UPPER(_xlpm.kod),GE$18),GE$18))</f>
        <v>14</v>
      </c>
      <c r="GF153" s="88" cm="1">
        <f t="array" ref="GF153">_xlfn.LET(_xlpm.rad,$FO153+1,_xlpm.typ,INDEX($E$20:$E$68,_xlpm.rad),_xlpm.kod,INDEX(X$19:X$68,_xlpm.rad),IFERROR(IF(AND(_xlpm.typ="H",_xlpm.kod&lt;&gt;""),UPPER(_xlpm.kod),GF$18),GF$18))</f>
        <v>15</v>
      </c>
      <c r="GG153" s="88" cm="1">
        <f t="array" ref="GG153">_xlfn.LET(_xlpm.rad,$FO153+1,_xlpm.typ,INDEX($E$20:$E$68,_xlpm.rad),_xlpm.kod,INDEX(Y$19:Y$68,_xlpm.rad),IFERROR(IF(AND(_xlpm.typ="H",_xlpm.kod&lt;&gt;""),UPPER(_xlpm.kod),GG$18),GG$18))</f>
        <v>16</v>
      </c>
      <c r="GH153" s="88" cm="1">
        <f t="array" ref="GH153">_xlfn.LET(_xlpm.rad,$FO153+1,_xlpm.typ,INDEX($E$20:$E$68,_xlpm.rad),_xlpm.kod,INDEX(Z$19:Z$68,_xlpm.rad),IFERROR(IF(AND(_xlpm.typ="H",_xlpm.kod&lt;&gt;""),UPPER(_xlpm.kod),GH$18),GH$18))</f>
        <v>17</v>
      </c>
      <c r="GI153" s="88" cm="1">
        <f t="array" ref="GI153">_xlfn.LET(_xlpm.rad,$FO153+1,_xlpm.typ,INDEX($E$20:$E$68,_xlpm.rad),_xlpm.kod,INDEX(AA$19:AA$68,_xlpm.rad),IFERROR(IF(AND(_xlpm.typ="H",_xlpm.kod&lt;&gt;""),UPPER(_xlpm.kod),GI$18),GI$18))</f>
        <v>18</v>
      </c>
      <c r="GJ153" s="88" cm="1">
        <f t="array" ref="GJ153">_xlfn.LET(_xlpm.rad,$FO153+1,_xlpm.typ,INDEX($E$20:$E$68,_xlpm.rad),_xlpm.kod,INDEX(AB$19:AB$68,_xlpm.rad),IFERROR(IF(AND(_xlpm.typ="H",_xlpm.kod&lt;&gt;""),UPPER(_xlpm.kod),GJ$18),GJ$18))</f>
        <v>19</v>
      </c>
      <c r="GK153" s="88" cm="1">
        <f t="array" ref="GK153">_xlfn.LET(_xlpm.rad,$FO153+1,_xlpm.typ,INDEX($E$20:$E$68,_xlpm.rad),_xlpm.kod,INDEX(AC$19:AC$68,_xlpm.rad),IFERROR(IF(AND(_xlpm.typ="H",_xlpm.kod&lt;&gt;""),UPPER(_xlpm.kod),GK$18),GK$18))</f>
        <v>20</v>
      </c>
      <c r="GL153" s="88" cm="1">
        <f t="array" ref="GL153">_xlfn.LET(_xlpm.rad,$FO153+1,_xlpm.typ,INDEX($E$20:$E$68,_xlpm.rad),_xlpm.kod,INDEX(AD$19:AD$68,_xlpm.rad),IFERROR(IF(AND(_xlpm.typ="H",_xlpm.kod&lt;&gt;""),UPPER(_xlpm.kod),GL$18),GL$18))</f>
        <v>21</v>
      </c>
      <c r="GM153" s="88" cm="1">
        <f t="array" ref="GM153">_xlfn.LET(_xlpm.rad,$FO153+1,_xlpm.typ,INDEX($E$20:$E$68,_xlpm.rad),_xlpm.kod,INDEX(AE$19:AE$68,_xlpm.rad),IFERROR(IF(AND(_xlpm.typ="H",_xlpm.kod&lt;&gt;""),UPPER(_xlpm.kod),GM$18),GM$18))</f>
        <v>22</v>
      </c>
      <c r="GN153" s="88" cm="1">
        <f t="array" ref="GN153">_xlfn.LET(_xlpm.rad,$FO153+1,_xlpm.typ,INDEX($E$20:$E$68,_xlpm.rad),_xlpm.kod,INDEX(AF$19:AF$68,_xlpm.rad),IFERROR(IF(AND(_xlpm.typ="H",_xlpm.kod&lt;&gt;""),UPPER(_xlpm.kod),GN$18),GN$18))</f>
        <v>23</v>
      </c>
      <c r="GO153" s="88" cm="1">
        <f t="array" ref="GO153">_xlfn.LET(_xlpm.rad,$FO153+1,_xlpm.typ,INDEX($E$20:$E$68,_xlpm.rad),_xlpm.kod,INDEX(AG$19:AG$68,_xlpm.rad),IFERROR(IF(AND(_xlpm.typ="H",_xlpm.kod&lt;&gt;""),UPPER(_xlpm.kod),GO$18),GO$18))</f>
        <v>24</v>
      </c>
      <c r="GP153" s="88" cm="1">
        <f t="array" ref="GP153">_xlfn.LET(_xlpm.rad,$FO153+1,_xlpm.typ,INDEX($E$20:$E$68,_xlpm.rad),_xlpm.kod,INDEX(AH$19:AH$68,_xlpm.rad),IFERROR(IF(AND(_xlpm.typ="H",_xlpm.kod&lt;&gt;""),UPPER(_xlpm.kod),GP$18),GP$18))</f>
        <v>25</v>
      </c>
      <c r="GQ153" s="88" cm="1">
        <f t="array" ref="GQ153">_xlfn.LET(_xlpm.rad,$FO153+1,_xlpm.typ,INDEX($E$20:$E$68,_xlpm.rad),_xlpm.kod,INDEX(AI$19:AI$68,_xlpm.rad),IFERROR(IF(AND(_xlpm.typ="H",_xlpm.kod&lt;&gt;""),UPPER(_xlpm.kod),GQ$18),GQ$18))</f>
        <v>26</v>
      </c>
      <c r="GR153" s="88" cm="1">
        <f t="array" ref="GR153">_xlfn.LET(_xlpm.rad,$FO153+1,_xlpm.typ,INDEX($E$20:$E$68,_xlpm.rad),_xlpm.kod,INDEX(AJ$19:AJ$68,_xlpm.rad),IFERROR(IF(AND(_xlpm.typ="H",_xlpm.kod&lt;&gt;""),UPPER(_xlpm.kod),GR$18),GR$18))</f>
        <v>27</v>
      </c>
      <c r="GS153" s="88" cm="1">
        <f t="array" ref="GS153">_xlfn.LET(_xlpm.rad,$FO153+1,_xlpm.typ,INDEX($E$20:$E$68,_xlpm.rad),_xlpm.kod,INDEX(AK$19:AK$68,_xlpm.rad),IFERROR(IF(AND(_xlpm.typ="H",_xlpm.kod&lt;&gt;""),UPPER(_xlpm.kod),GS$18),GS$18))</f>
        <v>28</v>
      </c>
      <c r="GT153" s="88" cm="1">
        <f t="array" ref="GT153">_xlfn.LET(_xlpm.rad,$FO153+1,_xlpm.typ,INDEX($E$20:$E$68,_xlpm.rad),_xlpm.kod,INDEX(AL$19:AL$68,_xlpm.rad),IFERROR(IF(AND(_xlpm.typ="H",_xlpm.kod&lt;&gt;""),UPPER(_xlpm.kod),GT$18),GT$18))</f>
        <v>29</v>
      </c>
      <c r="GU153" s="88" cm="1">
        <f t="array" ref="GU153">_xlfn.LET(_xlpm.rad,$FO153+1,_xlpm.typ,INDEX($E$20:$E$68,_xlpm.rad),_xlpm.kod,INDEX(AM$19:AM$68,_xlpm.rad),IFERROR(IF(AND(_xlpm.typ="H",_xlpm.kod&lt;&gt;""),UPPER(_xlpm.kod),GU$18),GU$18))</f>
        <v>30</v>
      </c>
    </row>
    <row r="154" spans="143:203" x14ac:dyDescent="0.35">
      <c r="EM154" s="91"/>
      <c r="EN154" s="91"/>
      <c r="FR154" s="88" cm="1">
        <f t="array" ref="FR154">_xlfn.LET(_xlpm.rad,$FO153+1,_xlpm.typ,INDEX($E$20:$E$68,_xlpm.rad),_xlpm.kod,INDEX(J$19:J$68,_xlpm.rad),_xlpm.del,INDEX($F$19:$F$68,_xlpm.rad),IFERROR(IF(AND(_xlpm.typ="H",_xlpm.kod&lt;&gt;"",_xlpm.del&lt;&gt;"Hybrid - Thrust + 2 connections"),INDEX(Hyb_Tech,MATCH(_xlpm.kod,Hyb_Code,0)),FR$72),FR$72))</f>
        <v>1</v>
      </c>
      <c r="FS154" s="88" cm="1">
        <f t="array" ref="FS154">_xlfn.LET(_xlpm.rad,$FO153+1,_xlpm.typ,INDEX($E$20:$E$68,_xlpm.rad),_xlpm.kod,INDEX(K$19:K$68,_xlpm.rad),_xlpm.del,INDEX($F$19:$F$68,_xlpm.rad),IFERROR(IF(AND(_xlpm.typ="H",_xlpm.kod&lt;&gt;"",_xlpm.del&lt;&gt;"Hybrid - Thrust + 2 connections"),INDEX(Hyb_Tech,MATCH(_xlpm.kod,Hyb_Code,0)),FS$72),FS$72))</f>
        <v>2</v>
      </c>
      <c r="FT154" s="88" cm="1">
        <f t="array" ref="FT154">_xlfn.LET(_xlpm.rad,$FO153+1,_xlpm.typ,INDEX($E$20:$E$68,_xlpm.rad),_xlpm.kod,INDEX(L$19:L$68,_xlpm.rad),_xlpm.del,INDEX($F$19:$F$68,_xlpm.rad),IFERROR(IF(AND(_xlpm.typ="H",_xlpm.kod&lt;&gt;"",_xlpm.del&lt;&gt;"Hybrid - Thrust + 2 connections"),INDEX(Hyb_Tech,MATCH(_xlpm.kod,Hyb_Code,0)),FT$72),FT$72))</f>
        <v>3</v>
      </c>
      <c r="FU154" s="88" cm="1">
        <f t="array" ref="FU154">_xlfn.LET(_xlpm.rad,$FO153+1,_xlpm.typ,INDEX($E$20:$E$68,_xlpm.rad),_xlpm.kod,INDEX(M$19:M$68,_xlpm.rad),_xlpm.del,INDEX($F$19:$F$68,_xlpm.rad),IFERROR(IF(AND(_xlpm.typ="H",_xlpm.kod&lt;&gt;"",_xlpm.del&lt;&gt;"Hybrid - Thrust + 2 connections"),INDEX(Hyb_Tech,MATCH(_xlpm.kod,Hyb_Code,0)),FU$72),FU$72))</f>
        <v>4</v>
      </c>
      <c r="FV154" s="88" cm="1">
        <f t="array" ref="FV154">_xlfn.LET(_xlpm.rad,$FO153+1,_xlpm.typ,INDEX($E$20:$E$68,_xlpm.rad),_xlpm.kod,INDEX(N$19:N$68,_xlpm.rad),_xlpm.del,INDEX($F$19:$F$68,_xlpm.rad),IFERROR(IF(AND(_xlpm.typ="H",_xlpm.kod&lt;&gt;"",_xlpm.del&lt;&gt;"Hybrid - Thrust + 2 connections"),INDEX(Hyb_Tech,MATCH(_xlpm.kod,Hyb_Code,0)),FV$72),FV$72))</f>
        <v>5</v>
      </c>
      <c r="FW154" s="88" cm="1">
        <f t="array" ref="FW154">_xlfn.LET(_xlpm.rad,$FO153+1,_xlpm.typ,INDEX($E$20:$E$68,_xlpm.rad),_xlpm.kod,INDEX(O$19:O$68,_xlpm.rad),_xlpm.del,INDEX($F$19:$F$68,_xlpm.rad),IFERROR(IF(AND(_xlpm.typ="H",_xlpm.kod&lt;&gt;"",_xlpm.del&lt;&gt;"Hybrid - Thrust + 2 connections"),INDEX(Hyb_Tech,MATCH(_xlpm.kod,Hyb_Code,0)),FW$72),FW$72))</f>
        <v>6</v>
      </c>
      <c r="FX154" s="88" cm="1">
        <f t="array" ref="FX154">_xlfn.LET(_xlpm.rad,$FO153+1,_xlpm.typ,INDEX($E$20:$E$68,_xlpm.rad),_xlpm.kod,INDEX(P$19:P$68,_xlpm.rad),_xlpm.del,INDEX($F$19:$F$68,_xlpm.rad),IFERROR(IF(AND(_xlpm.typ="H",_xlpm.kod&lt;&gt;"",_xlpm.del&lt;&gt;"Hybrid - Thrust + 2 connections"),INDEX(Hyb_Tech,MATCH(_xlpm.kod,Hyb_Code,0)),FX$72),FX$72))</f>
        <v>7</v>
      </c>
      <c r="FY154" s="88" cm="1">
        <f t="array" ref="FY154">_xlfn.LET(_xlpm.rad,$FO153+1,_xlpm.typ,INDEX($E$20:$E$68,_xlpm.rad),_xlpm.kod,INDEX(Q$19:Q$68,_xlpm.rad),_xlpm.del,INDEX($F$19:$F$68,_xlpm.rad),IFERROR(IF(AND(_xlpm.typ="H",_xlpm.kod&lt;&gt;"",_xlpm.del&lt;&gt;"Hybrid - Thrust + 2 connections"),INDEX(Hyb_Tech,MATCH(_xlpm.kod,Hyb_Code,0)),FY$72),FY$72))</f>
        <v>8</v>
      </c>
      <c r="FZ154" s="88" cm="1">
        <f t="array" ref="FZ154">_xlfn.LET(_xlpm.rad,$FO153+1,_xlpm.typ,INDEX($E$20:$E$68,_xlpm.rad),_xlpm.kod,INDEX(R$19:R$68,_xlpm.rad),_xlpm.del,INDEX($F$19:$F$68,_xlpm.rad),IFERROR(IF(AND(_xlpm.typ="H",_xlpm.kod&lt;&gt;"",_xlpm.del&lt;&gt;"Hybrid - Thrust + 2 connections"),INDEX(Hyb_Tech,MATCH(_xlpm.kod,Hyb_Code,0)),FZ$72),FZ$72))</f>
        <v>9</v>
      </c>
      <c r="GA154" s="88" cm="1">
        <f t="array" ref="GA154">_xlfn.LET(_xlpm.rad,$FO153+1,_xlpm.typ,INDEX($E$20:$E$68,_xlpm.rad),_xlpm.kod,INDEX(S$19:S$68,_xlpm.rad),_xlpm.del,INDEX($F$19:$F$68,_xlpm.rad),IFERROR(IF(AND(_xlpm.typ="H",_xlpm.kod&lt;&gt;"",_xlpm.del&lt;&gt;"Hybrid - Thrust + 2 connections"),INDEX(Hyb_Tech,MATCH(_xlpm.kod,Hyb_Code,0)),GA$72),GA$72))</f>
        <v>10</v>
      </c>
      <c r="GB154" s="88" cm="1">
        <f t="array" ref="GB154">_xlfn.LET(_xlpm.rad,$FO153+1,_xlpm.typ,INDEX($E$20:$E$68,_xlpm.rad),_xlpm.kod,INDEX(T$19:T$68,_xlpm.rad),_xlpm.del,INDEX($F$19:$F$68,_xlpm.rad),IFERROR(IF(AND(_xlpm.typ="H",_xlpm.kod&lt;&gt;"",_xlpm.del&lt;&gt;"Hybrid - Thrust + 2 connections"),INDEX(Hyb_Tech,MATCH(_xlpm.kod,Hyb_Code,0)),GB$72),GB$72))</f>
        <v>11</v>
      </c>
      <c r="GC154" s="88" cm="1">
        <f t="array" ref="GC154">_xlfn.LET(_xlpm.rad,$FO153+1,_xlpm.typ,INDEX($E$20:$E$68,_xlpm.rad),_xlpm.kod,INDEX(U$19:U$68,_xlpm.rad),_xlpm.del,INDEX($F$19:$F$68,_xlpm.rad),IFERROR(IF(AND(_xlpm.typ="H",_xlpm.kod&lt;&gt;"",_xlpm.del&lt;&gt;"Hybrid - Thrust + 2 connections"),INDEX(Hyb_Tech,MATCH(_xlpm.kod,Hyb_Code,0)),GC$72),GC$72))</f>
        <v>12</v>
      </c>
      <c r="GD154" s="88" cm="1">
        <f t="array" ref="GD154">_xlfn.LET(_xlpm.rad,$FO153+1,_xlpm.typ,INDEX($E$20:$E$68,_xlpm.rad),_xlpm.kod,INDEX(V$19:V$68,_xlpm.rad),_xlpm.del,INDEX($F$19:$F$68,_xlpm.rad),IFERROR(IF(AND(_xlpm.typ="H",_xlpm.kod&lt;&gt;"",_xlpm.del&lt;&gt;"Hybrid - Thrust + 2 connections"),INDEX(Hyb_Tech,MATCH(_xlpm.kod,Hyb_Code,0)),GD$72),GD$72))</f>
        <v>13</v>
      </c>
      <c r="GE154" s="88" cm="1">
        <f t="array" ref="GE154">_xlfn.LET(_xlpm.rad,$FO153+1,_xlpm.typ,INDEX($E$20:$E$68,_xlpm.rad),_xlpm.kod,INDEX(W$19:W$68,_xlpm.rad),_xlpm.del,INDEX($F$19:$F$68,_xlpm.rad),IFERROR(IF(AND(_xlpm.typ="H",_xlpm.kod&lt;&gt;"",_xlpm.del&lt;&gt;"Hybrid - Thrust + 2 connections"),INDEX(Hyb_Tech,MATCH(_xlpm.kod,Hyb_Code,0)),GE$72),GE$72))</f>
        <v>14</v>
      </c>
      <c r="GF154" s="88" cm="1">
        <f t="array" ref="GF154">_xlfn.LET(_xlpm.rad,$FO153+1,_xlpm.typ,INDEX($E$20:$E$68,_xlpm.rad),_xlpm.kod,INDEX(X$19:X$68,_xlpm.rad),_xlpm.del,INDEX($F$19:$F$68,_xlpm.rad),IFERROR(IF(AND(_xlpm.typ="H",_xlpm.kod&lt;&gt;"",_xlpm.del&lt;&gt;"Hybrid - Thrust + 2 connections"),INDEX(Hyb_Tech,MATCH(_xlpm.kod,Hyb_Code,0)),GF$72),GF$72))</f>
        <v>15</v>
      </c>
      <c r="GG154" s="88" cm="1">
        <f t="array" ref="GG154">_xlfn.LET(_xlpm.rad,$FO153+1,_xlpm.typ,INDEX($E$20:$E$68,_xlpm.rad),_xlpm.kod,INDEX(Y$19:Y$68,_xlpm.rad),_xlpm.del,INDEX($F$19:$F$68,_xlpm.rad),IFERROR(IF(AND(_xlpm.typ="H",_xlpm.kod&lt;&gt;"",_xlpm.del&lt;&gt;"Hybrid - Thrust + 2 connections"),INDEX(Hyb_Tech,MATCH(_xlpm.kod,Hyb_Code,0)),GG$72),GG$72))</f>
        <v>16</v>
      </c>
      <c r="GH154" s="88" cm="1">
        <f t="array" ref="GH154">_xlfn.LET(_xlpm.rad,$FO153+1,_xlpm.typ,INDEX($E$20:$E$68,_xlpm.rad),_xlpm.kod,INDEX(Z$19:Z$68,_xlpm.rad),_xlpm.del,INDEX($F$19:$F$68,_xlpm.rad),IFERROR(IF(AND(_xlpm.typ="H",_xlpm.kod&lt;&gt;"",_xlpm.del&lt;&gt;"Hybrid - Thrust + 2 connections"),INDEX(Hyb_Tech,MATCH(_xlpm.kod,Hyb_Code,0)),GH$72),GH$72))</f>
        <v>17</v>
      </c>
      <c r="GI154" s="88" cm="1">
        <f t="array" ref="GI154">_xlfn.LET(_xlpm.rad,$FO153+1,_xlpm.typ,INDEX($E$20:$E$68,_xlpm.rad),_xlpm.kod,INDEX(AA$19:AA$68,_xlpm.rad),_xlpm.del,INDEX($F$19:$F$68,_xlpm.rad),IFERROR(IF(AND(_xlpm.typ="H",_xlpm.kod&lt;&gt;"",_xlpm.del&lt;&gt;"Hybrid - Thrust + 2 connections"),INDEX(Hyb_Tech,MATCH(_xlpm.kod,Hyb_Code,0)),GI$72),GI$72))</f>
        <v>18</v>
      </c>
      <c r="GJ154" s="88" cm="1">
        <f t="array" ref="GJ154">_xlfn.LET(_xlpm.rad,$FO153+1,_xlpm.typ,INDEX($E$20:$E$68,_xlpm.rad),_xlpm.kod,INDEX(AB$19:AB$68,_xlpm.rad),_xlpm.del,INDEX($F$19:$F$68,_xlpm.rad),IFERROR(IF(AND(_xlpm.typ="H",_xlpm.kod&lt;&gt;"",_xlpm.del&lt;&gt;"Hybrid - Thrust + 2 connections"),INDEX(Hyb_Tech,MATCH(_xlpm.kod,Hyb_Code,0)),GJ$72),GJ$72))</f>
        <v>19</v>
      </c>
      <c r="GK154" s="88" cm="1">
        <f t="array" ref="GK154">_xlfn.LET(_xlpm.rad,$FO153+1,_xlpm.typ,INDEX($E$20:$E$68,_xlpm.rad),_xlpm.kod,INDEX(AC$19:AC$68,_xlpm.rad),_xlpm.del,INDEX($F$19:$F$68,_xlpm.rad),IFERROR(IF(AND(_xlpm.typ="H",_xlpm.kod&lt;&gt;"",_xlpm.del&lt;&gt;"Hybrid - Thrust + 2 connections"),INDEX(Hyb_Tech,MATCH(_xlpm.kod,Hyb_Code,0)),GK$72),GK$72))</f>
        <v>20</v>
      </c>
      <c r="GL154" s="88" cm="1">
        <f t="array" ref="GL154">_xlfn.LET(_xlpm.rad,$FO153+1,_xlpm.typ,INDEX($E$20:$E$68,_xlpm.rad),_xlpm.kod,INDEX(AD$19:AD$68,_xlpm.rad),_xlpm.del,INDEX($F$19:$F$68,_xlpm.rad),IFERROR(IF(AND(_xlpm.typ="H",_xlpm.kod&lt;&gt;"",_xlpm.del&lt;&gt;"Hybrid - Thrust + 2 connections"),INDEX(Hyb_Tech,MATCH(_xlpm.kod,Hyb_Code,0)),GL$72),GL$72))</f>
        <v>21</v>
      </c>
      <c r="GM154" s="88" cm="1">
        <f t="array" ref="GM154">_xlfn.LET(_xlpm.rad,$FO153+1,_xlpm.typ,INDEX($E$20:$E$68,_xlpm.rad),_xlpm.kod,INDEX(AE$19:AE$68,_xlpm.rad),_xlpm.del,INDEX($F$19:$F$68,_xlpm.rad),IFERROR(IF(AND(_xlpm.typ="H",_xlpm.kod&lt;&gt;"",_xlpm.del&lt;&gt;"Hybrid - Thrust + 2 connections"),INDEX(Hyb_Tech,MATCH(_xlpm.kod,Hyb_Code,0)),GM$72),GM$72))</f>
        <v>22</v>
      </c>
      <c r="GN154" s="88" cm="1">
        <f t="array" ref="GN154">_xlfn.LET(_xlpm.rad,$FO153+1,_xlpm.typ,INDEX($E$20:$E$68,_xlpm.rad),_xlpm.kod,INDEX(AF$19:AF$68,_xlpm.rad),_xlpm.del,INDEX($F$19:$F$68,_xlpm.rad),IFERROR(IF(AND(_xlpm.typ="H",_xlpm.kod&lt;&gt;"",_xlpm.del&lt;&gt;"Hybrid - Thrust + 2 connections"),INDEX(Hyb_Tech,MATCH(_xlpm.kod,Hyb_Code,0)),GN$72),GN$72))</f>
        <v>23</v>
      </c>
      <c r="GO154" s="88" cm="1">
        <f t="array" ref="GO154">_xlfn.LET(_xlpm.rad,$FO153+1,_xlpm.typ,INDEX($E$20:$E$68,_xlpm.rad),_xlpm.kod,INDEX(AG$19:AG$68,_xlpm.rad),_xlpm.del,INDEX($F$19:$F$68,_xlpm.rad),IFERROR(IF(AND(_xlpm.typ="H",_xlpm.kod&lt;&gt;"",_xlpm.del&lt;&gt;"Hybrid - Thrust + 2 connections"),INDEX(Hyb_Tech,MATCH(_xlpm.kod,Hyb_Code,0)),GO$72),GO$72))</f>
        <v>24</v>
      </c>
      <c r="GP154" s="88" cm="1">
        <f t="array" ref="GP154">_xlfn.LET(_xlpm.rad,$FO153+1,_xlpm.typ,INDEX($E$20:$E$68,_xlpm.rad),_xlpm.kod,INDEX(AH$19:AH$68,_xlpm.rad),_xlpm.del,INDEX($F$19:$F$68,_xlpm.rad),IFERROR(IF(AND(_xlpm.typ="H",_xlpm.kod&lt;&gt;"",_xlpm.del&lt;&gt;"Hybrid - Thrust + 2 connections"),INDEX(Hyb_Tech,MATCH(_xlpm.kod,Hyb_Code,0)),GP$72),GP$72))</f>
        <v>25</v>
      </c>
      <c r="GQ154" s="88" cm="1">
        <f t="array" ref="GQ154">_xlfn.LET(_xlpm.rad,$FO153+1,_xlpm.typ,INDEX($E$20:$E$68,_xlpm.rad),_xlpm.kod,INDEX(AI$19:AI$68,_xlpm.rad),_xlpm.del,INDEX($F$19:$F$68,_xlpm.rad),IFERROR(IF(AND(_xlpm.typ="H",_xlpm.kod&lt;&gt;"",_xlpm.del&lt;&gt;"Hybrid - Thrust + 2 connections"),INDEX(Hyb_Tech,MATCH(_xlpm.kod,Hyb_Code,0)),GQ$72),GQ$72))</f>
        <v>26</v>
      </c>
      <c r="GR154" s="88" cm="1">
        <f t="array" ref="GR154">_xlfn.LET(_xlpm.rad,$FO153+1,_xlpm.typ,INDEX($E$20:$E$68,_xlpm.rad),_xlpm.kod,INDEX(AJ$19:AJ$68,_xlpm.rad),_xlpm.del,INDEX($F$19:$F$68,_xlpm.rad),IFERROR(IF(AND(_xlpm.typ="H",_xlpm.kod&lt;&gt;"",_xlpm.del&lt;&gt;"Hybrid - Thrust + 2 connections"),INDEX(Hyb_Tech,MATCH(_xlpm.kod,Hyb_Code,0)),GR$72),GR$72))</f>
        <v>27</v>
      </c>
      <c r="GS154" s="88" cm="1">
        <f t="array" ref="GS154">_xlfn.LET(_xlpm.rad,$FO153+1,_xlpm.typ,INDEX($E$20:$E$68,_xlpm.rad),_xlpm.kod,INDEX(AK$19:AK$68,_xlpm.rad),_xlpm.del,INDEX($F$19:$F$68,_xlpm.rad),IFERROR(IF(AND(_xlpm.typ="H",_xlpm.kod&lt;&gt;"",_xlpm.del&lt;&gt;"Hybrid - Thrust + 2 connections"),INDEX(Hyb_Tech,MATCH(_xlpm.kod,Hyb_Code,0)),GS$72),GS$72))</f>
        <v>28</v>
      </c>
      <c r="GT154" s="88" cm="1">
        <f t="array" ref="GT154">_xlfn.LET(_xlpm.rad,$FO153+1,_xlpm.typ,INDEX($E$20:$E$68,_xlpm.rad),_xlpm.kod,INDEX(AL$19:AL$68,_xlpm.rad),_xlpm.del,INDEX($F$19:$F$68,_xlpm.rad),IFERROR(IF(AND(_xlpm.typ="H",_xlpm.kod&lt;&gt;"",_xlpm.del&lt;&gt;"Hybrid - Thrust + 2 connections"),INDEX(Hyb_Tech,MATCH(_xlpm.kod,Hyb_Code,0)),GT$72),GT$72))</f>
        <v>29</v>
      </c>
      <c r="GU154" s="88" cm="1">
        <f t="array" ref="GU154">_xlfn.LET(_xlpm.rad,$FO153+1,_xlpm.typ,INDEX($E$20:$E$68,_xlpm.rad),_xlpm.kod,INDEX(AM$19:AM$68,_xlpm.rad),_xlpm.del,INDEX($F$19:$F$68,_xlpm.rad),IFERROR(IF(AND(_xlpm.typ="H",_xlpm.kod&lt;&gt;"",_xlpm.del&lt;&gt;"Hybrid - Thrust + 2 connections"),INDEX(Hyb_Tech,MATCH(_xlpm.kod,Hyb_Code,0)),GU$72),GU$72))</f>
        <v>30</v>
      </c>
    </row>
    <row r="155" spans="143:203" x14ac:dyDescent="0.35">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P155" s="91" t="str" cm="1">
        <f t="array" ref="FP155">IFERROR(IF($T$5="",IF(COUNTIF(FR155:GU155,1)&gt;$FP$18,INDEX($FR$73:$GU$170,$FO153*5/2+1,MATCH(1,FR155:GU155,0)),""),IF(SUM(FR155:GU155)&gt;2,INDEX($FR$73:$GU$170,$FO153*5/2+1,MATCH(1,FR155:GU155,0)),"")),"")</f>
        <v/>
      </c>
      <c r="FQ155" s="88" t="str" cm="1">
        <f t="array" ref="FQ155">IFERROR(IF(LEFT(FP155,1)="C",IF(RIGHT(FP155,1)="+",LEFT(FP155,LEN(FP155)-1),CONCATENATE(FP155,"+")),IF(SUM($FR155:$GU155)&gt;$FP$18,INDEX($FR$73:$GU$170,$FO153*5/2+1,MATCH(0.5,FR155:GU155,0)),"")),"")</f>
        <v/>
      </c>
      <c r="FR155" s="88" t="str">
        <f t="shared" ref="FR155:GU155" si="3404">IF(AND($BV$6="D",LEFT(FR153,1)="C"),IF(COUNTIF($FR154:$GU154,FR154)&gt;$FP$18,INDEX(Hyb_Tech_Value,MATCH(FR153,Hyb_Code,0)),""),IF(COUNTIF($FR154:$GU154,FR154)&gt;$FP$18,INDEX(Hyb_Tech_Value,MATCH(FR153,Hyb_Code,0)),""))</f>
        <v/>
      </c>
      <c r="FS155" s="88" t="str">
        <f t="shared" si="3404"/>
        <v/>
      </c>
      <c r="FT155" s="88" t="str">
        <f t="shared" si="3404"/>
        <v/>
      </c>
      <c r="FU155" s="88" t="str">
        <f t="shared" si="3404"/>
        <v/>
      </c>
      <c r="FV155" s="88" t="str">
        <f t="shared" si="3404"/>
        <v/>
      </c>
      <c r="FW155" s="88" t="str">
        <f t="shared" si="3404"/>
        <v/>
      </c>
      <c r="FX155" s="88" t="str">
        <f t="shared" si="3404"/>
        <v/>
      </c>
      <c r="FY155" s="88" t="str">
        <f t="shared" si="3404"/>
        <v/>
      </c>
      <c r="FZ155" s="88" t="str">
        <f t="shared" si="3404"/>
        <v/>
      </c>
      <c r="GA155" s="88" t="str">
        <f t="shared" si="3404"/>
        <v/>
      </c>
      <c r="GB155" s="88" t="str">
        <f t="shared" si="3404"/>
        <v/>
      </c>
      <c r="GC155" s="88" t="str">
        <f t="shared" si="3404"/>
        <v/>
      </c>
      <c r="GD155" s="88" t="str">
        <f t="shared" si="3404"/>
        <v/>
      </c>
      <c r="GE155" s="88" t="str">
        <f t="shared" si="3404"/>
        <v/>
      </c>
      <c r="GF155" s="88" t="str">
        <f t="shared" si="3404"/>
        <v/>
      </c>
      <c r="GG155" s="88" t="str">
        <f t="shared" si="3404"/>
        <v/>
      </c>
      <c r="GH155" s="88" t="str">
        <f t="shared" si="3404"/>
        <v/>
      </c>
      <c r="GI155" s="88" t="str">
        <f t="shared" si="3404"/>
        <v/>
      </c>
      <c r="GJ155" s="88" t="str">
        <f t="shared" si="3404"/>
        <v/>
      </c>
      <c r="GK155" s="88" t="str">
        <f t="shared" si="3404"/>
        <v/>
      </c>
      <c r="GL155" s="88" t="str">
        <f t="shared" si="3404"/>
        <v/>
      </c>
      <c r="GM155" s="88" t="str">
        <f t="shared" si="3404"/>
        <v/>
      </c>
      <c r="GN155" s="88" t="str">
        <f t="shared" si="3404"/>
        <v/>
      </c>
      <c r="GO155" s="88" t="str">
        <f t="shared" si="3404"/>
        <v/>
      </c>
      <c r="GP155" s="88" t="str">
        <f t="shared" si="3404"/>
        <v/>
      </c>
      <c r="GQ155" s="88" t="str">
        <f t="shared" si="3404"/>
        <v/>
      </c>
      <c r="GR155" s="88" t="str">
        <f t="shared" si="3404"/>
        <v/>
      </c>
      <c r="GS155" s="88" t="str">
        <f t="shared" si="3404"/>
        <v/>
      </c>
      <c r="GT155" s="88" t="str">
        <f t="shared" si="3404"/>
        <v/>
      </c>
      <c r="GU155" s="88" t="str">
        <f t="shared" si="3404"/>
        <v/>
      </c>
    </row>
    <row r="156" spans="143:203" x14ac:dyDescent="0.35">
      <c r="EM156" s="91"/>
      <c r="EN156" s="91"/>
      <c r="FQ156" s="88"/>
      <c r="FR156" s="88" t="str">
        <f t="shared" ref="FR156:GU156" si="3405">IFERROR(IF(LEFT(FR153,FIND("*",FR153)-1)=LEFT($FQ$73,FIND("*",$FQ$73)-1),0.5,""),"")</f>
        <v/>
      </c>
      <c r="FS156" s="88" t="str">
        <f t="shared" si="3405"/>
        <v/>
      </c>
      <c r="FT156" s="88" t="str">
        <f t="shared" si="3405"/>
        <v/>
      </c>
      <c r="FU156" s="88" t="str">
        <f t="shared" si="3405"/>
        <v/>
      </c>
      <c r="FV156" s="88" t="str">
        <f t="shared" si="3405"/>
        <v/>
      </c>
      <c r="FW156" s="88" t="str">
        <f t="shared" si="3405"/>
        <v/>
      </c>
      <c r="FX156" s="88" t="str">
        <f t="shared" si="3405"/>
        <v/>
      </c>
      <c r="FY156" s="88" t="str">
        <f t="shared" si="3405"/>
        <v/>
      </c>
      <c r="FZ156" s="88" t="str">
        <f t="shared" si="3405"/>
        <v/>
      </c>
      <c r="GA156" s="88" t="str">
        <f t="shared" si="3405"/>
        <v/>
      </c>
      <c r="GB156" s="88" t="str">
        <f t="shared" si="3405"/>
        <v/>
      </c>
      <c r="GC156" s="88" t="str">
        <f t="shared" si="3405"/>
        <v/>
      </c>
      <c r="GD156" s="88" t="str">
        <f t="shared" si="3405"/>
        <v/>
      </c>
      <c r="GE156" s="88" t="str">
        <f t="shared" si="3405"/>
        <v/>
      </c>
      <c r="GF156" s="88" t="str">
        <f t="shared" si="3405"/>
        <v/>
      </c>
      <c r="GG156" s="88" t="str">
        <f t="shared" si="3405"/>
        <v/>
      </c>
      <c r="GH156" s="88" t="str">
        <f t="shared" si="3405"/>
        <v/>
      </c>
      <c r="GI156" s="88" t="str">
        <f t="shared" si="3405"/>
        <v/>
      </c>
      <c r="GJ156" s="88" t="str">
        <f t="shared" si="3405"/>
        <v/>
      </c>
      <c r="GK156" s="88" t="str">
        <f t="shared" si="3405"/>
        <v/>
      </c>
      <c r="GL156" s="88" t="str">
        <f t="shared" si="3405"/>
        <v/>
      </c>
      <c r="GM156" s="88" t="str">
        <f t="shared" si="3405"/>
        <v/>
      </c>
      <c r="GN156" s="88" t="str">
        <f t="shared" si="3405"/>
        <v/>
      </c>
      <c r="GO156" s="88" t="str">
        <f t="shared" si="3405"/>
        <v/>
      </c>
      <c r="GP156" s="88" t="str">
        <f t="shared" si="3405"/>
        <v/>
      </c>
      <c r="GQ156" s="88" t="str">
        <f t="shared" si="3405"/>
        <v/>
      </c>
      <c r="GR156" s="88" t="str">
        <f t="shared" si="3405"/>
        <v/>
      </c>
      <c r="GS156" s="88" t="str">
        <f t="shared" si="3405"/>
        <v/>
      </c>
      <c r="GT156" s="88" t="str">
        <f t="shared" si="3405"/>
        <v/>
      </c>
      <c r="GU156" s="88" t="str">
        <f t="shared" si="3405"/>
        <v/>
      </c>
    </row>
    <row r="157" spans="143:203" x14ac:dyDescent="0.35">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Q157" s="88"/>
      <c r="FR157" s="88"/>
      <c r="FS157" s="88"/>
      <c r="FT157" s="88"/>
      <c r="FU157" s="88"/>
      <c r="FV157" s="88"/>
      <c r="FW157" s="88"/>
      <c r="FX157" s="88"/>
      <c r="FY157" s="88"/>
      <c r="FZ157" s="88"/>
      <c r="GA157" s="88"/>
      <c r="GB157" s="88"/>
      <c r="GC157" s="88"/>
      <c r="GD157" s="88"/>
      <c r="GE157" s="88"/>
      <c r="GF157" s="88"/>
      <c r="GG157" s="88"/>
      <c r="GH157" s="88"/>
      <c r="GI157" s="88"/>
      <c r="GJ157" s="88"/>
      <c r="GK157" s="88"/>
      <c r="GL157" s="88"/>
      <c r="GM157" s="88"/>
      <c r="GN157" s="88"/>
      <c r="GO157" s="88"/>
      <c r="GP157" s="88"/>
      <c r="GQ157" s="88"/>
      <c r="GR157" s="88"/>
      <c r="GS157" s="88"/>
      <c r="GT157" s="88"/>
      <c r="GU157" s="88"/>
    </row>
    <row r="158" spans="143:203" x14ac:dyDescent="0.35">
      <c r="EM158" s="91"/>
      <c r="EN158" s="91"/>
      <c r="FO158" s="91">
        <v>34</v>
      </c>
      <c r="FP158" s="88" t="str">
        <f t="shared" ref="FP158" si="3406">IF(SUM(FR161:GU161)&gt;2,FQ158,"")</f>
        <v/>
      </c>
      <c r="FQ158" s="88" t="str" cm="1">
        <f t="array" ref="FQ158">IF(SUM(FR160:GU160)&gt;0,_xlfn.LET(_xlpm.area,FR158:GU158,_xlpm.texts,_xlfn.UNIQUE(_xlfn._xlws.FILTER(_xlpm.area,_xlpm.area&lt;&gt;"")),_xlpm.number,COUNTIF(_xlpm.area,_xlpm.texts),INDEX(_xlpm.texts,MATCH(MAX(_xlpm.number),_xlpm.number,0))),"")</f>
        <v/>
      </c>
      <c r="FR158" s="88" cm="1">
        <f t="array" ref="FR158">_xlfn.LET(_xlpm.rad,$FO158+1,_xlpm.typ,INDEX($E$20:$E$68,_xlpm.rad),_xlpm.kod,INDEX(J$19:J$68,_xlpm.rad),IFERROR(IF(AND(_xlpm.typ="H",_xlpm.kod&lt;&gt;""),UPPER(_xlpm.kod),FR$18),FR$18))</f>
        <v>1</v>
      </c>
      <c r="FS158" s="88" cm="1">
        <f t="array" ref="FS158">_xlfn.LET(_xlpm.rad,$FO158+1,_xlpm.typ,INDEX($E$20:$E$68,_xlpm.rad),_xlpm.kod,INDEX(K$19:K$68,_xlpm.rad),IFERROR(IF(AND(_xlpm.typ="H",_xlpm.kod&lt;&gt;""),UPPER(_xlpm.kod),FS$18),FS$18))</f>
        <v>2</v>
      </c>
      <c r="FT158" s="88" cm="1">
        <f t="array" ref="FT158">_xlfn.LET(_xlpm.rad,$FO158+1,_xlpm.typ,INDEX($E$20:$E$68,_xlpm.rad),_xlpm.kod,INDEX(L$19:L$68,_xlpm.rad),IFERROR(IF(AND(_xlpm.typ="H",_xlpm.kod&lt;&gt;""),UPPER(_xlpm.kod),FT$18),FT$18))</f>
        <v>3</v>
      </c>
      <c r="FU158" s="88" cm="1">
        <f t="array" ref="FU158">_xlfn.LET(_xlpm.rad,$FO158+1,_xlpm.typ,INDEX($E$20:$E$68,_xlpm.rad),_xlpm.kod,INDEX(M$19:M$68,_xlpm.rad),IFERROR(IF(AND(_xlpm.typ="H",_xlpm.kod&lt;&gt;""),UPPER(_xlpm.kod),FU$18),FU$18))</f>
        <v>4</v>
      </c>
      <c r="FV158" s="88" cm="1">
        <f t="array" ref="FV158">_xlfn.LET(_xlpm.rad,$FO158+1,_xlpm.typ,INDEX($E$20:$E$68,_xlpm.rad),_xlpm.kod,INDEX(N$19:N$68,_xlpm.rad),IFERROR(IF(AND(_xlpm.typ="H",_xlpm.kod&lt;&gt;""),UPPER(_xlpm.kod),FV$18),FV$18))</f>
        <v>5</v>
      </c>
      <c r="FW158" s="88" cm="1">
        <f t="array" ref="FW158">_xlfn.LET(_xlpm.rad,$FO158+1,_xlpm.typ,INDEX($E$20:$E$68,_xlpm.rad),_xlpm.kod,INDEX(O$19:O$68,_xlpm.rad),IFERROR(IF(AND(_xlpm.typ="H",_xlpm.kod&lt;&gt;""),UPPER(_xlpm.kod),FW$18),FW$18))</f>
        <v>6</v>
      </c>
      <c r="FX158" s="88" cm="1">
        <f t="array" ref="FX158">_xlfn.LET(_xlpm.rad,$FO158+1,_xlpm.typ,INDEX($E$20:$E$68,_xlpm.rad),_xlpm.kod,INDEX(P$19:P$68,_xlpm.rad),IFERROR(IF(AND(_xlpm.typ="H",_xlpm.kod&lt;&gt;""),UPPER(_xlpm.kod),FX$18),FX$18))</f>
        <v>7</v>
      </c>
      <c r="FY158" s="88" cm="1">
        <f t="array" ref="FY158">_xlfn.LET(_xlpm.rad,$FO158+1,_xlpm.typ,INDEX($E$20:$E$68,_xlpm.rad),_xlpm.kod,INDEX(Q$19:Q$68,_xlpm.rad),IFERROR(IF(AND(_xlpm.typ="H",_xlpm.kod&lt;&gt;""),UPPER(_xlpm.kod),FY$18),FY$18))</f>
        <v>8</v>
      </c>
      <c r="FZ158" s="88" cm="1">
        <f t="array" ref="FZ158">_xlfn.LET(_xlpm.rad,$FO158+1,_xlpm.typ,INDEX($E$20:$E$68,_xlpm.rad),_xlpm.kod,INDEX(R$19:R$68,_xlpm.rad),IFERROR(IF(AND(_xlpm.typ="H",_xlpm.kod&lt;&gt;""),UPPER(_xlpm.kod),FZ$18),FZ$18))</f>
        <v>9</v>
      </c>
      <c r="GA158" s="88" cm="1">
        <f t="array" ref="GA158">_xlfn.LET(_xlpm.rad,$FO158+1,_xlpm.typ,INDEX($E$20:$E$68,_xlpm.rad),_xlpm.kod,INDEX(S$19:S$68,_xlpm.rad),IFERROR(IF(AND(_xlpm.typ="H",_xlpm.kod&lt;&gt;""),UPPER(_xlpm.kod),GA$18),GA$18))</f>
        <v>10</v>
      </c>
      <c r="GB158" s="88" cm="1">
        <f t="array" ref="GB158">_xlfn.LET(_xlpm.rad,$FO158+1,_xlpm.typ,INDEX($E$20:$E$68,_xlpm.rad),_xlpm.kod,INDEX(T$19:T$68,_xlpm.rad),IFERROR(IF(AND(_xlpm.typ="H",_xlpm.kod&lt;&gt;""),UPPER(_xlpm.kod),GB$18),GB$18))</f>
        <v>11</v>
      </c>
      <c r="GC158" s="88" cm="1">
        <f t="array" ref="GC158">_xlfn.LET(_xlpm.rad,$FO158+1,_xlpm.typ,INDEX($E$20:$E$68,_xlpm.rad),_xlpm.kod,INDEX(U$19:U$68,_xlpm.rad),IFERROR(IF(AND(_xlpm.typ="H",_xlpm.kod&lt;&gt;""),UPPER(_xlpm.kod),GC$18),GC$18))</f>
        <v>12</v>
      </c>
      <c r="GD158" s="88" cm="1">
        <f t="array" ref="GD158">_xlfn.LET(_xlpm.rad,$FO158+1,_xlpm.typ,INDEX($E$20:$E$68,_xlpm.rad),_xlpm.kod,INDEX(V$19:V$68,_xlpm.rad),IFERROR(IF(AND(_xlpm.typ="H",_xlpm.kod&lt;&gt;""),UPPER(_xlpm.kod),GD$18),GD$18))</f>
        <v>13</v>
      </c>
      <c r="GE158" s="88" cm="1">
        <f t="array" ref="GE158">_xlfn.LET(_xlpm.rad,$FO158+1,_xlpm.typ,INDEX($E$20:$E$68,_xlpm.rad),_xlpm.kod,INDEX(W$19:W$68,_xlpm.rad),IFERROR(IF(AND(_xlpm.typ="H",_xlpm.kod&lt;&gt;""),UPPER(_xlpm.kod),GE$18),GE$18))</f>
        <v>14</v>
      </c>
      <c r="GF158" s="88" cm="1">
        <f t="array" ref="GF158">_xlfn.LET(_xlpm.rad,$FO158+1,_xlpm.typ,INDEX($E$20:$E$68,_xlpm.rad),_xlpm.kod,INDEX(X$19:X$68,_xlpm.rad),IFERROR(IF(AND(_xlpm.typ="H",_xlpm.kod&lt;&gt;""),UPPER(_xlpm.kod),GF$18),GF$18))</f>
        <v>15</v>
      </c>
      <c r="GG158" s="88" cm="1">
        <f t="array" ref="GG158">_xlfn.LET(_xlpm.rad,$FO158+1,_xlpm.typ,INDEX($E$20:$E$68,_xlpm.rad),_xlpm.kod,INDEX(Y$19:Y$68,_xlpm.rad),IFERROR(IF(AND(_xlpm.typ="H",_xlpm.kod&lt;&gt;""),UPPER(_xlpm.kod),GG$18),GG$18))</f>
        <v>16</v>
      </c>
      <c r="GH158" s="88" cm="1">
        <f t="array" ref="GH158">_xlfn.LET(_xlpm.rad,$FO158+1,_xlpm.typ,INDEX($E$20:$E$68,_xlpm.rad),_xlpm.kod,INDEX(Z$19:Z$68,_xlpm.rad),IFERROR(IF(AND(_xlpm.typ="H",_xlpm.kod&lt;&gt;""),UPPER(_xlpm.kod),GH$18),GH$18))</f>
        <v>17</v>
      </c>
      <c r="GI158" s="88" cm="1">
        <f t="array" ref="GI158">_xlfn.LET(_xlpm.rad,$FO158+1,_xlpm.typ,INDEX($E$20:$E$68,_xlpm.rad),_xlpm.kod,INDEX(AA$19:AA$68,_xlpm.rad),IFERROR(IF(AND(_xlpm.typ="H",_xlpm.kod&lt;&gt;""),UPPER(_xlpm.kod),GI$18),GI$18))</f>
        <v>18</v>
      </c>
      <c r="GJ158" s="88" cm="1">
        <f t="array" ref="GJ158">_xlfn.LET(_xlpm.rad,$FO158+1,_xlpm.typ,INDEX($E$20:$E$68,_xlpm.rad),_xlpm.kod,INDEX(AB$19:AB$68,_xlpm.rad),IFERROR(IF(AND(_xlpm.typ="H",_xlpm.kod&lt;&gt;""),UPPER(_xlpm.kod),GJ$18),GJ$18))</f>
        <v>19</v>
      </c>
      <c r="GK158" s="88" cm="1">
        <f t="array" ref="GK158">_xlfn.LET(_xlpm.rad,$FO158+1,_xlpm.typ,INDEX($E$20:$E$68,_xlpm.rad),_xlpm.kod,INDEX(AC$19:AC$68,_xlpm.rad),IFERROR(IF(AND(_xlpm.typ="H",_xlpm.kod&lt;&gt;""),UPPER(_xlpm.kod),GK$18),GK$18))</f>
        <v>20</v>
      </c>
      <c r="GL158" s="88" cm="1">
        <f t="array" ref="GL158">_xlfn.LET(_xlpm.rad,$FO158+1,_xlpm.typ,INDEX($E$20:$E$68,_xlpm.rad),_xlpm.kod,INDEX(AD$19:AD$68,_xlpm.rad),IFERROR(IF(AND(_xlpm.typ="H",_xlpm.kod&lt;&gt;""),UPPER(_xlpm.kod),GL$18),GL$18))</f>
        <v>21</v>
      </c>
      <c r="GM158" s="88" cm="1">
        <f t="array" ref="GM158">_xlfn.LET(_xlpm.rad,$FO158+1,_xlpm.typ,INDEX($E$20:$E$68,_xlpm.rad),_xlpm.kod,INDEX(AE$19:AE$68,_xlpm.rad),IFERROR(IF(AND(_xlpm.typ="H",_xlpm.kod&lt;&gt;""),UPPER(_xlpm.kod),GM$18),GM$18))</f>
        <v>22</v>
      </c>
      <c r="GN158" s="88" cm="1">
        <f t="array" ref="GN158">_xlfn.LET(_xlpm.rad,$FO158+1,_xlpm.typ,INDEX($E$20:$E$68,_xlpm.rad),_xlpm.kod,INDEX(AF$19:AF$68,_xlpm.rad),IFERROR(IF(AND(_xlpm.typ="H",_xlpm.kod&lt;&gt;""),UPPER(_xlpm.kod),GN$18),GN$18))</f>
        <v>23</v>
      </c>
      <c r="GO158" s="88" cm="1">
        <f t="array" ref="GO158">_xlfn.LET(_xlpm.rad,$FO158+1,_xlpm.typ,INDEX($E$20:$E$68,_xlpm.rad),_xlpm.kod,INDEX(AG$19:AG$68,_xlpm.rad),IFERROR(IF(AND(_xlpm.typ="H",_xlpm.kod&lt;&gt;""),UPPER(_xlpm.kod),GO$18),GO$18))</f>
        <v>24</v>
      </c>
      <c r="GP158" s="88" cm="1">
        <f t="array" ref="GP158">_xlfn.LET(_xlpm.rad,$FO158+1,_xlpm.typ,INDEX($E$20:$E$68,_xlpm.rad),_xlpm.kod,INDEX(AH$19:AH$68,_xlpm.rad),IFERROR(IF(AND(_xlpm.typ="H",_xlpm.kod&lt;&gt;""),UPPER(_xlpm.kod),GP$18),GP$18))</f>
        <v>25</v>
      </c>
      <c r="GQ158" s="88" cm="1">
        <f t="array" ref="GQ158">_xlfn.LET(_xlpm.rad,$FO158+1,_xlpm.typ,INDEX($E$20:$E$68,_xlpm.rad),_xlpm.kod,INDEX(AI$19:AI$68,_xlpm.rad),IFERROR(IF(AND(_xlpm.typ="H",_xlpm.kod&lt;&gt;""),UPPER(_xlpm.kod),GQ$18),GQ$18))</f>
        <v>26</v>
      </c>
      <c r="GR158" s="88" cm="1">
        <f t="array" ref="GR158">_xlfn.LET(_xlpm.rad,$FO158+1,_xlpm.typ,INDEX($E$20:$E$68,_xlpm.rad),_xlpm.kod,INDEX(AJ$19:AJ$68,_xlpm.rad),IFERROR(IF(AND(_xlpm.typ="H",_xlpm.kod&lt;&gt;""),UPPER(_xlpm.kod),GR$18),GR$18))</f>
        <v>27</v>
      </c>
      <c r="GS158" s="88" cm="1">
        <f t="array" ref="GS158">_xlfn.LET(_xlpm.rad,$FO158+1,_xlpm.typ,INDEX($E$20:$E$68,_xlpm.rad),_xlpm.kod,INDEX(AK$19:AK$68,_xlpm.rad),IFERROR(IF(AND(_xlpm.typ="H",_xlpm.kod&lt;&gt;""),UPPER(_xlpm.kod),GS$18),GS$18))</f>
        <v>28</v>
      </c>
      <c r="GT158" s="88" cm="1">
        <f t="array" ref="GT158">_xlfn.LET(_xlpm.rad,$FO158+1,_xlpm.typ,INDEX($E$20:$E$68,_xlpm.rad),_xlpm.kod,INDEX(AL$19:AL$68,_xlpm.rad),IFERROR(IF(AND(_xlpm.typ="H",_xlpm.kod&lt;&gt;""),UPPER(_xlpm.kod),GT$18),GT$18))</f>
        <v>29</v>
      </c>
      <c r="GU158" s="88" cm="1">
        <f t="array" ref="GU158">_xlfn.LET(_xlpm.rad,$FO158+1,_xlpm.typ,INDEX($E$20:$E$68,_xlpm.rad),_xlpm.kod,INDEX(AM$19:AM$68,_xlpm.rad),IFERROR(IF(AND(_xlpm.typ="H",_xlpm.kod&lt;&gt;""),UPPER(_xlpm.kod),GU$18),GU$18))</f>
        <v>30</v>
      </c>
    </row>
    <row r="159" spans="143:203" x14ac:dyDescent="0.35">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R159" s="88" cm="1">
        <f t="array" ref="FR159">_xlfn.LET(_xlpm.rad,$FO158+1,_xlpm.typ,INDEX($E$20:$E$68,_xlpm.rad),_xlpm.kod,INDEX(J$19:J$68,_xlpm.rad),_xlpm.del,INDEX($F$19:$F$68,_xlpm.rad),IFERROR(IF(AND(_xlpm.typ="H",_xlpm.kod&lt;&gt;"",_xlpm.del&lt;&gt;"Hybrid - Thrust + 2 connections"),INDEX(Hyb_Tech,MATCH(_xlpm.kod,Hyb_Code,0)),FR$72),FR$72))</f>
        <v>1</v>
      </c>
      <c r="FS159" s="88" cm="1">
        <f t="array" ref="FS159">_xlfn.LET(_xlpm.rad,$FO158+1,_xlpm.typ,INDEX($E$20:$E$68,_xlpm.rad),_xlpm.kod,INDEX(K$19:K$68,_xlpm.rad),_xlpm.del,INDEX($F$19:$F$68,_xlpm.rad),IFERROR(IF(AND(_xlpm.typ="H",_xlpm.kod&lt;&gt;"",_xlpm.del&lt;&gt;"Hybrid - Thrust + 2 connections"),INDEX(Hyb_Tech,MATCH(_xlpm.kod,Hyb_Code,0)),FS$72),FS$72))</f>
        <v>2</v>
      </c>
      <c r="FT159" s="88" cm="1">
        <f t="array" ref="FT159">_xlfn.LET(_xlpm.rad,$FO158+1,_xlpm.typ,INDEX($E$20:$E$68,_xlpm.rad),_xlpm.kod,INDEX(L$19:L$68,_xlpm.rad),_xlpm.del,INDEX($F$19:$F$68,_xlpm.rad),IFERROR(IF(AND(_xlpm.typ="H",_xlpm.kod&lt;&gt;"",_xlpm.del&lt;&gt;"Hybrid - Thrust + 2 connections"),INDEX(Hyb_Tech,MATCH(_xlpm.kod,Hyb_Code,0)),FT$72),FT$72))</f>
        <v>3</v>
      </c>
      <c r="FU159" s="88" cm="1">
        <f t="array" ref="FU159">_xlfn.LET(_xlpm.rad,$FO158+1,_xlpm.typ,INDEX($E$20:$E$68,_xlpm.rad),_xlpm.kod,INDEX(M$19:M$68,_xlpm.rad),_xlpm.del,INDEX($F$19:$F$68,_xlpm.rad),IFERROR(IF(AND(_xlpm.typ="H",_xlpm.kod&lt;&gt;"",_xlpm.del&lt;&gt;"Hybrid - Thrust + 2 connections"),INDEX(Hyb_Tech,MATCH(_xlpm.kod,Hyb_Code,0)),FU$72),FU$72))</f>
        <v>4</v>
      </c>
      <c r="FV159" s="88" cm="1">
        <f t="array" ref="FV159">_xlfn.LET(_xlpm.rad,$FO158+1,_xlpm.typ,INDEX($E$20:$E$68,_xlpm.rad),_xlpm.kod,INDEX(N$19:N$68,_xlpm.rad),_xlpm.del,INDEX($F$19:$F$68,_xlpm.rad),IFERROR(IF(AND(_xlpm.typ="H",_xlpm.kod&lt;&gt;"",_xlpm.del&lt;&gt;"Hybrid - Thrust + 2 connections"),INDEX(Hyb_Tech,MATCH(_xlpm.kod,Hyb_Code,0)),FV$72),FV$72))</f>
        <v>5</v>
      </c>
      <c r="FW159" s="88" cm="1">
        <f t="array" ref="FW159">_xlfn.LET(_xlpm.rad,$FO158+1,_xlpm.typ,INDEX($E$20:$E$68,_xlpm.rad),_xlpm.kod,INDEX(O$19:O$68,_xlpm.rad),_xlpm.del,INDEX($F$19:$F$68,_xlpm.rad),IFERROR(IF(AND(_xlpm.typ="H",_xlpm.kod&lt;&gt;"",_xlpm.del&lt;&gt;"Hybrid - Thrust + 2 connections"),INDEX(Hyb_Tech,MATCH(_xlpm.kod,Hyb_Code,0)),FW$72),FW$72))</f>
        <v>6</v>
      </c>
      <c r="FX159" s="88" cm="1">
        <f t="array" ref="FX159">_xlfn.LET(_xlpm.rad,$FO158+1,_xlpm.typ,INDEX($E$20:$E$68,_xlpm.rad),_xlpm.kod,INDEX(P$19:P$68,_xlpm.rad),_xlpm.del,INDEX($F$19:$F$68,_xlpm.rad),IFERROR(IF(AND(_xlpm.typ="H",_xlpm.kod&lt;&gt;"",_xlpm.del&lt;&gt;"Hybrid - Thrust + 2 connections"),INDEX(Hyb_Tech,MATCH(_xlpm.kod,Hyb_Code,0)),FX$72),FX$72))</f>
        <v>7</v>
      </c>
      <c r="FY159" s="88" cm="1">
        <f t="array" ref="FY159">_xlfn.LET(_xlpm.rad,$FO158+1,_xlpm.typ,INDEX($E$20:$E$68,_xlpm.rad),_xlpm.kod,INDEX(Q$19:Q$68,_xlpm.rad),_xlpm.del,INDEX($F$19:$F$68,_xlpm.rad),IFERROR(IF(AND(_xlpm.typ="H",_xlpm.kod&lt;&gt;"",_xlpm.del&lt;&gt;"Hybrid - Thrust + 2 connections"),INDEX(Hyb_Tech,MATCH(_xlpm.kod,Hyb_Code,0)),FY$72),FY$72))</f>
        <v>8</v>
      </c>
      <c r="FZ159" s="88" cm="1">
        <f t="array" ref="FZ159">_xlfn.LET(_xlpm.rad,$FO158+1,_xlpm.typ,INDEX($E$20:$E$68,_xlpm.rad),_xlpm.kod,INDEX(R$19:R$68,_xlpm.rad),_xlpm.del,INDEX($F$19:$F$68,_xlpm.rad),IFERROR(IF(AND(_xlpm.typ="H",_xlpm.kod&lt;&gt;"",_xlpm.del&lt;&gt;"Hybrid - Thrust + 2 connections"),INDEX(Hyb_Tech,MATCH(_xlpm.kod,Hyb_Code,0)),FZ$72),FZ$72))</f>
        <v>9</v>
      </c>
      <c r="GA159" s="88" cm="1">
        <f t="array" ref="GA159">_xlfn.LET(_xlpm.rad,$FO158+1,_xlpm.typ,INDEX($E$20:$E$68,_xlpm.rad),_xlpm.kod,INDEX(S$19:S$68,_xlpm.rad),_xlpm.del,INDEX($F$19:$F$68,_xlpm.rad),IFERROR(IF(AND(_xlpm.typ="H",_xlpm.kod&lt;&gt;"",_xlpm.del&lt;&gt;"Hybrid - Thrust + 2 connections"),INDEX(Hyb_Tech,MATCH(_xlpm.kod,Hyb_Code,0)),GA$72),GA$72))</f>
        <v>10</v>
      </c>
      <c r="GB159" s="88" cm="1">
        <f t="array" ref="GB159">_xlfn.LET(_xlpm.rad,$FO158+1,_xlpm.typ,INDEX($E$20:$E$68,_xlpm.rad),_xlpm.kod,INDEX(T$19:T$68,_xlpm.rad),_xlpm.del,INDEX($F$19:$F$68,_xlpm.rad),IFERROR(IF(AND(_xlpm.typ="H",_xlpm.kod&lt;&gt;"",_xlpm.del&lt;&gt;"Hybrid - Thrust + 2 connections"),INDEX(Hyb_Tech,MATCH(_xlpm.kod,Hyb_Code,0)),GB$72),GB$72))</f>
        <v>11</v>
      </c>
      <c r="GC159" s="88" cm="1">
        <f t="array" ref="GC159">_xlfn.LET(_xlpm.rad,$FO158+1,_xlpm.typ,INDEX($E$20:$E$68,_xlpm.rad),_xlpm.kod,INDEX(U$19:U$68,_xlpm.rad),_xlpm.del,INDEX($F$19:$F$68,_xlpm.rad),IFERROR(IF(AND(_xlpm.typ="H",_xlpm.kod&lt;&gt;"",_xlpm.del&lt;&gt;"Hybrid - Thrust + 2 connections"),INDEX(Hyb_Tech,MATCH(_xlpm.kod,Hyb_Code,0)),GC$72),GC$72))</f>
        <v>12</v>
      </c>
      <c r="GD159" s="88" cm="1">
        <f t="array" ref="GD159">_xlfn.LET(_xlpm.rad,$FO158+1,_xlpm.typ,INDEX($E$20:$E$68,_xlpm.rad),_xlpm.kod,INDEX(V$19:V$68,_xlpm.rad),_xlpm.del,INDEX($F$19:$F$68,_xlpm.rad),IFERROR(IF(AND(_xlpm.typ="H",_xlpm.kod&lt;&gt;"",_xlpm.del&lt;&gt;"Hybrid - Thrust + 2 connections"),INDEX(Hyb_Tech,MATCH(_xlpm.kod,Hyb_Code,0)),GD$72),GD$72))</f>
        <v>13</v>
      </c>
      <c r="GE159" s="88" cm="1">
        <f t="array" ref="GE159">_xlfn.LET(_xlpm.rad,$FO158+1,_xlpm.typ,INDEX($E$20:$E$68,_xlpm.rad),_xlpm.kod,INDEX(W$19:W$68,_xlpm.rad),_xlpm.del,INDEX($F$19:$F$68,_xlpm.rad),IFERROR(IF(AND(_xlpm.typ="H",_xlpm.kod&lt;&gt;"",_xlpm.del&lt;&gt;"Hybrid - Thrust + 2 connections"),INDEX(Hyb_Tech,MATCH(_xlpm.kod,Hyb_Code,0)),GE$72),GE$72))</f>
        <v>14</v>
      </c>
      <c r="GF159" s="88" cm="1">
        <f t="array" ref="GF159">_xlfn.LET(_xlpm.rad,$FO158+1,_xlpm.typ,INDEX($E$20:$E$68,_xlpm.rad),_xlpm.kod,INDEX(X$19:X$68,_xlpm.rad),_xlpm.del,INDEX($F$19:$F$68,_xlpm.rad),IFERROR(IF(AND(_xlpm.typ="H",_xlpm.kod&lt;&gt;"",_xlpm.del&lt;&gt;"Hybrid - Thrust + 2 connections"),INDEX(Hyb_Tech,MATCH(_xlpm.kod,Hyb_Code,0)),GF$72),GF$72))</f>
        <v>15</v>
      </c>
      <c r="GG159" s="88" cm="1">
        <f t="array" ref="GG159">_xlfn.LET(_xlpm.rad,$FO158+1,_xlpm.typ,INDEX($E$20:$E$68,_xlpm.rad),_xlpm.kod,INDEX(Y$19:Y$68,_xlpm.rad),_xlpm.del,INDEX($F$19:$F$68,_xlpm.rad),IFERROR(IF(AND(_xlpm.typ="H",_xlpm.kod&lt;&gt;"",_xlpm.del&lt;&gt;"Hybrid - Thrust + 2 connections"),INDEX(Hyb_Tech,MATCH(_xlpm.kod,Hyb_Code,0)),GG$72),GG$72))</f>
        <v>16</v>
      </c>
      <c r="GH159" s="88" cm="1">
        <f t="array" ref="GH159">_xlfn.LET(_xlpm.rad,$FO158+1,_xlpm.typ,INDEX($E$20:$E$68,_xlpm.rad),_xlpm.kod,INDEX(Z$19:Z$68,_xlpm.rad),_xlpm.del,INDEX($F$19:$F$68,_xlpm.rad),IFERROR(IF(AND(_xlpm.typ="H",_xlpm.kod&lt;&gt;"",_xlpm.del&lt;&gt;"Hybrid - Thrust + 2 connections"),INDEX(Hyb_Tech,MATCH(_xlpm.kod,Hyb_Code,0)),GH$72),GH$72))</f>
        <v>17</v>
      </c>
      <c r="GI159" s="88" cm="1">
        <f t="array" ref="GI159">_xlfn.LET(_xlpm.rad,$FO158+1,_xlpm.typ,INDEX($E$20:$E$68,_xlpm.rad),_xlpm.kod,INDEX(AA$19:AA$68,_xlpm.rad),_xlpm.del,INDEX($F$19:$F$68,_xlpm.rad),IFERROR(IF(AND(_xlpm.typ="H",_xlpm.kod&lt;&gt;"",_xlpm.del&lt;&gt;"Hybrid - Thrust + 2 connections"),INDEX(Hyb_Tech,MATCH(_xlpm.kod,Hyb_Code,0)),GI$72),GI$72))</f>
        <v>18</v>
      </c>
      <c r="GJ159" s="88" cm="1">
        <f t="array" ref="GJ159">_xlfn.LET(_xlpm.rad,$FO158+1,_xlpm.typ,INDEX($E$20:$E$68,_xlpm.rad),_xlpm.kod,INDEX(AB$19:AB$68,_xlpm.rad),_xlpm.del,INDEX($F$19:$F$68,_xlpm.rad),IFERROR(IF(AND(_xlpm.typ="H",_xlpm.kod&lt;&gt;"",_xlpm.del&lt;&gt;"Hybrid - Thrust + 2 connections"),INDEX(Hyb_Tech,MATCH(_xlpm.kod,Hyb_Code,0)),GJ$72),GJ$72))</f>
        <v>19</v>
      </c>
      <c r="GK159" s="88" cm="1">
        <f t="array" ref="GK159">_xlfn.LET(_xlpm.rad,$FO158+1,_xlpm.typ,INDEX($E$20:$E$68,_xlpm.rad),_xlpm.kod,INDEX(AC$19:AC$68,_xlpm.rad),_xlpm.del,INDEX($F$19:$F$68,_xlpm.rad),IFERROR(IF(AND(_xlpm.typ="H",_xlpm.kod&lt;&gt;"",_xlpm.del&lt;&gt;"Hybrid - Thrust + 2 connections"),INDEX(Hyb_Tech,MATCH(_xlpm.kod,Hyb_Code,0)),GK$72),GK$72))</f>
        <v>20</v>
      </c>
      <c r="GL159" s="88" cm="1">
        <f t="array" ref="GL159">_xlfn.LET(_xlpm.rad,$FO158+1,_xlpm.typ,INDEX($E$20:$E$68,_xlpm.rad),_xlpm.kod,INDEX(AD$19:AD$68,_xlpm.rad),_xlpm.del,INDEX($F$19:$F$68,_xlpm.rad),IFERROR(IF(AND(_xlpm.typ="H",_xlpm.kod&lt;&gt;"",_xlpm.del&lt;&gt;"Hybrid - Thrust + 2 connections"),INDEX(Hyb_Tech,MATCH(_xlpm.kod,Hyb_Code,0)),GL$72),GL$72))</f>
        <v>21</v>
      </c>
      <c r="GM159" s="88" cm="1">
        <f t="array" ref="GM159">_xlfn.LET(_xlpm.rad,$FO158+1,_xlpm.typ,INDEX($E$20:$E$68,_xlpm.rad),_xlpm.kod,INDEX(AE$19:AE$68,_xlpm.rad),_xlpm.del,INDEX($F$19:$F$68,_xlpm.rad),IFERROR(IF(AND(_xlpm.typ="H",_xlpm.kod&lt;&gt;"",_xlpm.del&lt;&gt;"Hybrid - Thrust + 2 connections"),INDEX(Hyb_Tech,MATCH(_xlpm.kod,Hyb_Code,0)),GM$72),GM$72))</f>
        <v>22</v>
      </c>
      <c r="GN159" s="88" cm="1">
        <f t="array" ref="GN159">_xlfn.LET(_xlpm.rad,$FO158+1,_xlpm.typ,INDEX($E$20:$E$68,_xlpm.rad),_xlpm.kod,INDEX(AF$19:AF$68,_xlpm.rad),_xlpm.del,INDEX($F$19:$F$68,_xlpm.rad),IFERROR(IF(AND(_xlpm.typ="H",_xlpm.kod&lt;&gt;"",_xlpm.del&lt;&gt;"Hybrid - Thrust + 2 connections"),INDEX(Hyb_Tech,MATCH(_xlpm.kod,Hyb_Code,0)),GN$72),GN$72))</f>
        <v>23</v>
      </c>
      <c r="GO159" s="88" cm="1">
        <f t="array" ref="GO159">_xlfn.LET(_xlpm.rad,$FO158+1,_xlpm.typ,INDEX($E$20:$E$68,_xlpm.rad),_xlpm.kod,INDEX(AG$19:AG$68,_xlpm.rad),_xlpm.del,INDEX($F$19:$F$68,_xlpm.rad),IFERROR(IF(AND(_xlpm.typ="H",_xlpm.kod&lt;&gt;"",_xlpm.del&lt;&gt;"Hybrid - Thrust + 2 connections"),INDEX(Hyb_Tech,MATCH(_xlpm.kod,Hyb_Code,0)),GO$72),GO$72))</f>
        <v>24</v>
      </c>
      <c r="GP159" s="88" cm="1">
        <f t="array" ref="GP159">_xlfn.LET(_xlpm.rad,$FO158+1,_xlpm.typ,INDEX($E$20:$E$68,_xlpm.rad),_xlpm.kod,INDEX(AH$19:AH$68,_xlpm.rad),_xlpm.del,INDEX($F$19:$F$68,_xlpm.rad),IFERROR(IF(AND(_xlpm.typ="H",_xlpm.kod&lt;&gt;"",_xlpm.del&lt;&gt;"Hybrid - Thrust + 2 connections"),INDEX(Hyb_Tech,MATCH(_xlpm.kod,Hyb_Code,0)),GP$72),GP$72))</f>
        <v>25</v>
      </c>
      <c r="GQ159" s="88" cm="1">
        <f t="array" ref="GQ159">_xlfn.LET(_xlpm.rad,$FO158+1,_xlpm.typ,INDEX($E$20:$E$68,_xlpm.rad),_xlpm.kod,INDEX(AI$19:AI$68,_xlpm.rad),_xlpm.del,INDEX($F$19:$F$68,_xlpm.rad),IFERROR(IF(AND(_xlpm.typ="H",_xlpm.kod&lt;&gt;"",_xlpm.del&lt;&gt;"Hybrid - Thrust + 2 connections"),INDEX(Hyb_Tech,MATCH(_xlpm.kod,Hyb_Code,0)),GQ$72),GQ$72))</f>
        <v>26</v>
      </c>
      <c r="GR159" s="88" cm="1">
        <f t="array" ref="GR159">_xlfn.LET(_xlpm.rad,$FO158+1,_xlpm.typ,INDEX($E$20:$E$68,_xlpm.rad),_xlpm.kod,INDEX(AJ$19:AJ$68,_xlpm.rad),_xlpm.del,INDEX($F$19:$F$68,_xlpm.rad),IFERROR(IF(AND(_xlpm.typ="H",_xlpm.kod&lt;&gt;"",_xlpm.del&lt;&gt;"Hybrid - Thrust + 2 connections"),INDEX(Hyb_Tech,MATCH(_xlpm.kod,Hyb_Code,0)),GR$72),GR$72))</f>
        <v>27</v>
      </c>
      <c r="GS159" s="88" cm="1">
        <f t="array" ref="GS159">_xlfn.LET(_xlpm.rad,$FO158+1,_xlpm.typ,INDEX($E$20:$E$68,_xlpm.rad),_xlpm.kod,INDEX(AK$19:AK$68,_xlpm.rad),_xlpm.del,INDEX($F$19:$F$68,_xlpm.rad),IFERROR(IF(AND(_xlpm.typ="H",_xlpm.kod&lt;&gt;"",_xlpm.del&lt;&gt;"Hybrid - Thrust + 2 connections"),INDEX(Hyb_Tech,MATCH(_xlpm.kod,Hyb_Code,0)),GS$72),GS$72))</f>
        <v>28</v>
      </c>
      <c r="GT159" s="88" cm="1">
        <f t="array" ref="GT159">_xlfn.LET(_xlpm.rad,$FO158+1,_xlpm.typ,INDEX($E$20:$E$68,_xlpm.rad),_xlpm.kod,INDEX(AL$19:AL$68,_xlpm.rad),_xlpm.del,INDEX($F$19:$F$68,_xlpm.rad),IFERROR(IF(AND(_xlpm.typ="H",_xlpm.kod&lt;&gt;"",_xlpm.del&lt;&gt;"Hybrid - Thrust + 2 connections"),INDEX(Hyb_Tech,MATCH(_xlpm.kod,Hyb_Code,0)),GT$72),GT$72))</f>
        <v>29</v>
      </c>
      <c r="GU159" s="88" cm="1">
        <f t="array" ref="GU159">_xlfn.LET(_xlpm.rad,$FO158+1,_xlpm.typ,INDEX($E$20:$E$68,_xlpm.rad),_xlpm.kod,INDEX(AM$19:AM$68,_xlpm.rad),_xlpm.del,INDEX($F$19:$F$68,_xlpm.rad),IFERROR(IF(AND(_xlpm.typ="H",_xlpm.kod&lt;&gt;"",_xlpm.del&lt;&gt;"Hybrid - Thrust + 2 connections"),INDEX(Hyb_Tech,MATCH(_xlpm.kod,Hyb_Code,0)),GU$72),GU$72))</f>
        <v>30</v>
      </c>
    </row>
    <row r="160" spans="143:203" x14ac:dyDescent="0.35">
      <c r="EM160" s="91"/>
      <c r="EN160" s="91"/>
      <c r="FP160" s="91" t="str" cm="1">
        <f t="array" ref="FP160">IFERROR(IF($T$5="",IF(COUNTIF(FR160:GU160,1)&gt;$FP$18,INDEX($FR$73:$GU$170,$FO158*5/2+1,MATCH(1,FR160:GU160,0)),""),IF(SUM(FR160:GU160)&gt;2,INDEX($FR$73:$GU$170,$FO158*5/2+1,MATCH(1,FR160:GU160,0)),"")),"")</f>
        <v/>
      </c>
      <c r="FQ160" s="88" t="str" cm="1">
        <f t="array" ref="FQ160">IFERROR(IF(LEFT(FP160,1)="C",IF(RIGHT(FP160,1)="+",LEFT(FP160,LEN(FP160)-1),CONCATENATE(FP160,"+")),IF(SUM($FR160:$GU160)&gt;$FP$18,INDEX($FR$73:$GU$170,$FO158*5/2+1,MATCH(0.5,FR160:GU160,0)),"")),"")</f>
        <v/>
      </c>
      <c r="FR160" s="88" t="str">
        <f t="shared" ref="FR160:GU160" si="3407">IF(AND($BV$6="D",LEFT(FR158,1)="C"),IF(COUNTIF($FR159:$GU159,FR159)&gt;$FP$18,INDEX(Hyb_Tech_Value,MATCH(FR158,Hyb_Code,0)),""),IF(COUNTIF($FR159:$GU159,FR159)&gt;$FP$18,INDEX(Hyb_Tech_Value,MATCH(FR158,Hyb_Code,0)),""))</f>
        <v/>
      </c>
      <c r="FS160" s="88" t="str">
        <f t="shared" si="3407"/>
        <v/>
      </c>
      <c r="FT160" s="88" t="str">
        <f t="shared" si="3407"/>
        <v/>
      </c>
      <c r="FU160" s="88" t="str">
        <f t="shared" si="3407"/>
        <v/>
      </c>
      <c r="FV160" s="88" t="str">
        <f t="shared" si="3407"/>
        <v/>
      </c>
      <c r="FW160" s="88" t="str">
        <f t="shared" si="3407"/>
        <v/>
      </c>
      <c r="FX160" s="88" t="str">
        <f t="shared" si="3407"/>
        <v/>
      </c>
      <c r="FY160" s="88" t="str">
        <f t="shared" si="3407"/>
        <v/>
      </c>
      <c r="FZ160" s="88" t="str">
        <f t="shared" si="3407"/>
        <v/>
      </c>
      <c r="GA160" s="88" t="str">
        <f t="shared" si="3407"/>
        <v/>
      </c>
      <c r="GB160" s="88" t="str">
        <f t="shared" si="3407"/>
        <v/>
      </c>
      <c r="GC160" s="88" t="str">
        <f t="shared" si="3407"/>
        <v/>
      </c>
      <c r="GD160" s="88" t="str">
        <f t="shared" si="3407"/>
        <v/>
      </c>
      <c r="GE160" s="88" t="str">
        <f t="shared" si="3407"/>
        <v/>
      </c>
      <c r="GF160" s="88" t="str">
        <f t="shared" si="3407"/>
        <v/>
      </c>
      <c r="GG160" s="88" t="str">
        <f t="shared" si="3407"/>
        <v/>
      </c>
      <c r="GH160" s="88" t="str">
        <f t="shared" si="3407"/>
        <v/>
      </c>
      <c r="GI160" s="88" t="str">
        <f t="shared" si="3407"/>
        <v/>
      </c>
      <c r="GJ160" s="88" t="str">
        <f t="shared" si="3407"/>
        <v/>
      </c>
      <c r="GK160" s="88" t="str">
        <f t="shared" si="3407"/>
        <v/>
      </c>
      <c r="GL160" s="88" t="str">
        <f t="shared" si="3407"/>
        <v/>
      </c>
      <c r="GM160" s="88" t="str">
        <f t="shared" si="3407"/>
        <v/>
      </c>
      <c r="GN160" s="88" t="str">
        <f t="shared" si="3407"/>
        <v/>
      </c>
      <c r="GO160" s="88" t="str">
        <f t="shared" si="3407"/>
        <v/>
      </c>
      <c r="GP160" s="88" t="str">
        <f t="shared" si="3407"/>
        <v/>
      </c>
      <c r="GQ160" s="88" t="str">
        <f t="shared" si="3407"/>
        <v/>
      </c>
      <c r="GR160" s="88" t="str">
        <f t="shared" si="3407"/>
        <v/>
      </c>
      <c r="GS160" s="88" t="str">
        <f t="shared" si="3407"/>
        <v/>
      </c>
      <c r="GT160" s="88" t="str">
        <f t="shared" si="3407"/>
        <v/>
      </c>
      <c r="GU160" s="88" t="str">
        <f t="shared" si="3407"/>
        <v/>
      </c>
    </row>
    <row r="161" spans="143:203" x14ac:dyDescent="0.35">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Q161" s="88"/>
      <c r="FR161" s="88" t="str">
        <f t="shared" ref="FR161:GU161" si="3408">IFERROR(IF(LEFT(FR158,FIND("*",FR158)-1)=LEFT($FQ$73,FIND("*",$FQ$73)-1),0.5,""),"")</f>
        <v/>
      </c>
      <c r="FS161" s="88" t="str">
        <f t="shared" si="3408"/>
        <v/>
      </c>
      <c r="FT161" s="88" t="str">
        <f t="shared" si="3408"/>
        <v/>
      </c>
      <c r="FU161" s="88" t="str">
        <f t="shared" si="3408"/>
        <v/>
      </c>
      <c r="FV161" s="88" t="str">
        <f t="shared" si="3408"/>
        <v/>
      </c>
      <c r="FW161" s="88" t="str">
        <f t="shared" si="3408"/>
        <v/>
      </c>
      <c r="FX161" s="88" t="str">
        <f t="shared" si="3408"/>
        <v/>
      </c>
      <c r="FY161" s="88" t="str">
        <f t="shared" si="3408"/>
        <v/>
      </c>
      <c r="FZ161" s="88" t="str">
        <f t="shared" si="3408"/>
        <v/>
      </c>
      <c r="GA161" s="88" t="str">
        <f t="shared" si="3408"/>
        <v/>
      </c>
      <c r="GB161" s="88" t="str">
        <f t="shared" si="3408"/>
        <v/>
      </c>
      <c r="GC161" s="88" t="str">
        <f t="shared" si="3408"/>
        <v/>
      </c>
      <c r="GD161" s="88" t="str">
        <f t="shared" si="3408"/>
        <v/>
      </c>
      <c r="GE161" s="88" t="str">
        <f t="shared" si="3408"/>
        <v/>
      </c>
      <c r="GF161" s="88" t="str">
        <f t="shared" si="3408"/>
        <v/>
      </c>
      <c r="GG161" s="88" t="str">
        <f t="shared" si="3408"/>
        <v/>
      </c>
      <c r="GH161" s="88" t="str">
        <f t="shared" si="3408"/>
        <v/>
      </c>
      <c r="GI161" s="88" t="str">
        <f t="shared" si="3408"/>
        <v/>
      </c>
      <c r="GJ161" s="88" t="str">
        <f t="shared" si="3408"/>
        <v/>
      </c>
      <c r="GK161" s="88" t="str">
        <f t="shared" si="3408"/>
        <v/>
      </c>
      <c r="GL161" s="88" t="str">
        <f t="shared" si="3408"/>
        <v/>
      </c>
      <c r="GM161" s="88" t="str">
        <f t="shared" si="3408"/>
        <v/>
      </c>
      <c r="GN161" s="88" t="str">
        <f t="shared" si="3408"/>
        <v/>
      </c>
      <c r="GO161" s="88" t="str">
        <f t="shared" si="3408"/>
        <v/>
      </c>
      <c r="GP161" s="88" t="str">
        <f t="shared" si="3408"/>
        <v/>
      </c>
      <c r="GQ161" s="88" t="str">
        <f t="shared" si="3408"/>
        <v/>
      </c>
      <c r="GR161" s="88" t="str">
        <f t="shared" si="3408"/>
        <v/>
      </c>
      <c r="GS161" s="88" t="str">
        <f t="shared" si="3408"/>
        <v/>
      </c>
      <c r="GT161" s="88" t="str">
        <f t="shared" si="3408"/>
        <v/>
      </c>
      <c r="GU161" s="88" t="str">
        <f t="shared" si="3408"/>
        <v/>
      </c>
    </row>
    <row r="162" spans="143:203" x14ac:dyDescent="0.35">
      <c r="EM162" s="91"/>
      <c r="EN162" s="91"/>
      <c r="FQ162" s="88"/>
      <c r="FR162" s="88"/>
      <c r="FS162" s="88"/>
      <c r="FT162" s="88"/>
      <c r="FU162" s="88"/>
      <c r="FV162" s="88"/>
      <c r="FW162" s="88"/>
      <c r="FX162" s="88"/>
      <c r="FY162" s="88"/>
      <c r="FZ162" s="88"/>
      <c r="GA162" s="88"/>
      <c r="GB162" s="88"/>
      <c r="GC162" s="88"/>
      <c r="GD162" s="88"/>
      <c r="GE162" s="88"/>
      <c r="GF162" s="88"/>
      <c r="GG162" s="88"/>
      <c r="GH162" s="88"/>
      <c r="GI162" s="88"/>
      <c r="GJ162" s="88"/>
      <c r="GK162" s="88"/>
      <c r="GL162" s="88"/>
      <c r="GM162" s="88"/>
      <c r="GN162" s="88"/>
      <c r="GO162" s="88"/>
      <c r="GP162" s="88"/>
      <c r="GQ162" s="88"/>
      <c r="GR162" s="88"/>
      <c r="GS162" s="88"/>
      <c r="GT162" s="88"/>
      <c r="GU162" s="88"/>
    </row>
    <row r="163" spans="143:203" x14ac:dyDescent="0.35">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91">
        <v>36</v>
      </c>
      <c r="FP163" s="88" t="str">
        <f t="shared" ref="FP163" si="3409">IF(SUM(FR166:GU166)&gt;2,FQ163,"")</f>
        <v/>
      </c>
      <c r="FQ163" s="88" t="str" cm="1">
        <f t="array" ref="FQ163">IF(SUM(FR165:GU165)&gt;0,_xlfn.LET(_xlpm.area,FR163:GU163,_xlpm.texts,_xlfn.UNIQUE(_xlfn._xlws.FILTER(_xlpm.area,_xlpm.area&lt;&gt;"")),_xlpm.number,COUNTIF(_xlpm.area,_xlpm.texts),INDEX(_xlpm.texts,MATCH(MAX(_xlpm.number),_xlpm.number,0))),"")</f>
        <v/>
      </c>
      <c r="FR163" s="88" cm="1">
        <f t="array" ref="FR163">_xlfn.LET(_xlpm.rad,$FO163+1,_xlpm.typ,INDEX($E$20:$E$68,_xlpm.rad),_xlpm.kod,INDEX(J$19:J$68,_xlpm.rad),IFERROR(IF(AND(_xlpm.typ="H",_xlpm.kod&lt;&gt;""),UPPER(_xlpm.kod),FR$18),FR$18))</f>
        <v>1</v>
      </c>
      <c r="FS163" s="88" cm="1">
        <f t="array" ref="FS163">_xlfn.LET(_xlpm.rad,$FO163+1,_xlpm.typ,INDEX($E$20:$E$68,_xlpm.rad),_xlpm.kod,INDEX(K$19:K$68,_xlpm.rad),IFERROR(IF(AND(_xlpm.typ="H",_xlpm.kod&lt;&gt;""),UPPER(_xlpm.kod),FS$18),FS$18))</f>
        <v>2</v>
      </c>
      <c r="FT163" s="88" cm="1">
        <f t="array" ref="FT163">_xlfn.LET(_xlpm.rad,$FO163+1,_xlpm.typ,INDEX($E$20:$E$68,_xlpm.rad),_xlpm.kod,INDEX(L$19:L$68,_xlpm.rad),IFERROR(IF(AND(_xlpm.typ="H",_xlpm.kod&lt;&gt;""),UPPER(_xlpm.kod),FT$18),FT$18))</f>
        <v>3</v>
      </c>
      <c r="FU163" s="88" cm="1">
        <f t="array" ref="FU163">_xlfn.LET(_xlpm.rad,$FO163+1,_xlpm.typ,INDEX($E$20:$E$68,_xlpm.rad),_xlpm.kod,INDEX(M$19:M$68,_xlpm.rad),IFERROR(IF(AND(_xlpm.typ="H",_xlpm.kod&lt;&gt;""),UPPER(_xlpm.kod),FU$18),FU$18))</f>
        <v>4</v>
      </c>
      <c r="FV163" s="88" cm="1">
        <f t="array" ref="FV163">_xlfn.LET(_xlpm.rad,$FO163+1,_xlpm.typ,INDEX($E$20:$E$68,_xlpm.rad),_xlpm.kod,INDEX(N$19:N$68,_xlpm.rad),IFERROR(IF(AND(_xlpm.typ="H",_xlpm.kod&lt;&gt;""),UPPER(_xlpm.kod),FV$18),FV$18))</f>
        <v>5</v>
      </c>
      <c r="FW163" s="88" cm="1">
        <f t="array" ref="FW163">_xlfn.LET(_xlpm.rad,$FO163+1,_xlpm.typ,INDEX($E$20:$E$68,_xlpm.rad),_xlpm.kod,INDEX(O$19:O$68,_xlpm.rad),IFERROR(IF(AND(_xlpm.typ="H",_xlpm.kod&lt;&gt;""),UPPER(_xlpm.kod),FW$18),FW$18))</f>
        <v>6</v>
      </c>
      <c r="FX163" s="88" cm="1">
        <f t="array" ref="FX163">_xlfn.LET(_xlpm.rad,$FO163+1,_xlpm.typ,INDEX($E$20:$E$68,_xlpm.rad),_xlpm.kod,INDEX(P$19:P$68,_xlpm.rad),IFERROR(IF(AND(_xlpm.typ="H",_xlpm.kod&lt;&gt;""),UPPER(_xlpm.kod),FX$18),FX$18))</f>
        <v>7</v>
      </c>
      <c r="FY163" s="88" cm="1">
        <f t="array" ref="FY163">_xlfn.LET(_xlpm.rad,$FO163+1,_xlpm.typ,INDEX($E$20:$E$68,_xlpm.rad),_xlpm.kod,INDEX(Q$19:Q$68,_xlpm.rad),IFERROR(IF(AND(_xlpm.typ="H",_xlpm.kod&lt;&gt;""),UPPER(_xlpm.kod),FY$18),FY$18))</f>
        <v>8</v>
      </c>
      <c r="FZ163" s="88" cm="1">
        <f t="array" ref="FZ163">_xlfn.LET(_xlpm.rad,$FO163+1,_xlpm.typ,INDEX($E$20:$E$68,_xlpm.rad),_xlpm.kod,INDEX(R$19:R$68,_xlpm.rad),IFERROR(IF(AND(_xlpm.typ="H",_xlpm.kod&lt;&gt;""),UPPER(_xlpm.kod),FZ$18),FZ$18))</f>
        <v>9</v>
      </c>
      <c r="GA163" s="88" cm="1">
        <f t="array" ref="GA163">_xlfn.LET(_xlpm.rad,$FO163+1,_xlpm.typ,INDEX($E$20:$E$68,_xlpm.rad),_xlpm.kod,INDEX(S$19:S$68,_xlpm.rad),IFERROR(IF(AND(_xlpm.typ="H",_xlpm.kod&lt;&gt;""),UPPER(_xlpm.kod),GA$18),GA$18))</f>
        <v>10</v>
      </c>
      <c r="GB163" s="88" cm="1">
        <f t="array" ref="GB163">_xlfn.LET(_xlpm.rad,$FO163+1,_xlpm.typ,INDEX($E$20:$E$68,_xlpm.rad),_xlpm.kod,INDEX(T$19:T$68,_xlpm.rad),IFERROR(IF(AND(_xlpm.typ="H",_xlpm.kod&lt;&gt;""),UPPER(_xlpm.kod),GB$18),GB$18))</f>
        <v>11</v>
      </c>
      <c r="GC163" s="88" cm="1">
        <f t="array" ref="GC163">_xlfn.LET(_xlpm.rad,$FO163+1,_xlpm.typ,INDEX($E$20:$E$68,_xlpm.rad),_xlpm.kod,INDEX(U$19:U$68,_xlpm.rad),IFERROR(IF(AND(_xlpm.typ="H",_xlpm.kod&lt;&gt;""),UPPER(_xlpm.kod),GC$18),GC$18))</f>
        <v>12</v>
      </c>
      <c r="GD163" s="88" cm="1">
        <f t="array" ref="GD163">_xlfn.LET(_xlpm.rad,$FO163+1,_xlpm.typ,INDEX($E$20:$E$68,_xlpm.rad),_xlpm.kod,INDEX(V$19:V$68,_xlpm.rad),IFERROR(IF(AND(_xlpm.typ="H",_xlpm.kod&lt;&gt;""),UPPER(_xlpm.kod),GD$18),GD$18))</f>
        <v>13</v>
      </c>
      <c r="GE163" s="88" cm="1">
        <f t="array" ref="GE163">_xlfn.LET(_xlpm.rad,$FO163+1,_xlpm.typ,INDEX($E$20:$E$68,_xlpm.rad),_xlpm.kod,INDEX(W$19:W$68,_xlpm.rad),IFERROR(IF(AND(_xlpm.typ="H",_xlpm.kod&lt;&gt;""),UPPER(_xlpm.kod),GE$18),GE$18))</f>
        <v>14</v>
      </c>
      <c r="GF163" s="88" cm="1">
        <f t="array" ref="GF163">_xlfn.LET(_xlpm.rad,$FO163+1,_xlpm.typ,INDEX($E$20:$E$68,_xlpm.rad),_xlpm.kod,INDEX(X$19:X$68,_xlpm.rad),IFERROR(IF(AND(_xlpm.typ="H",_xlpm.kod&lt;&gt;""),UPPER(_xlpm.kod),GF$18),GF$18))</f>
        <v>15</v>
      </c>
      <c r="GG163" s="88" cm="1">
        <f t="array" ref="GG163">_xlfn.LET(_xlpm.rad,$FO163+1,_xlpm.typ,INDEX($E$20:$E$68,_xlpm.rad),_xlpm.kod,INDEX(Y$19:Y$68,_xlpm.rad),IFERROR(IF(AND(_xlpm.typ="H",_xlpm.kod&lt;&gt;""),UPPER(_xlpm.kod),GG$18),GG$18))</f>
        <v>16</v>
      </c>
      <c r="GH163" s="88" cm="1">
        <f t="array" ref="GH163">_xlfn.LET(_xlpm.rad,$FO163+1,_xlpm.typ,INDEX($E$20:$E$68,_xlpm.rad),_xlpm.kod,INDEX(Z$19:Z$68,_xlpm.rad),IFERROR(IF(AND(_xlpm.typ="H",_xlpm.kod&lt;&gt;""),UPPER(_xlpm.kod),GH$18),GH$18))</f>
        <v>17</v>
      </c>
      <c r="GI163" s="88" cm="1">
        <f t="array" ref="GI163">_xlfn.LET(_xlpm.rad,$FO163+1,_xlpm.typ,INDEX($E$20:$E$68,_xlpm.rad),_xlpm.kod,INDEX(AA$19:AA$68,_xlpm.rad),IFERROR(IF(AND(_xlpm.typ="H",_xlpm.kod&lt;&gt;""),UPPER(_xlpm.kod),GI$18),GI$18))</f>
        <v>18</v>
      </c>
      <c r="GJ163" s="88" cm="1">
        <f t="array" ref="GJ163">_xlfn.LET(_xlpm.rad,$FO163+1,_xlpm.typ,INDEX($E$20:$E$68,_xlpm.rad),_xlpm.kod,INDEX(AB$19:AB$68,_xlpm.rad),IFERROR(IF(AND(_xlpm.typ="H",_xlpm.kod&lt;&gt;""),UPPER(_xlpm.kod),GJ$18),GJ$18))</f>
        <v>19</v>
      </c>
      <c r="GK163" s="88" cm="1">
        <f t="array" ref="GK163">_xlfn.LET(_xlpm.rad,$FO163+1,_xlpm.typ,INDEX($E$20:$E$68,_xlpm.rad),_xlpm.kod,INDEX(AC$19:AC$68,_xlpm.rad),IFERROR(IF(AND(_xlpm.typ="H",_xlpm.kod&lt;&gt;""),UPPER(_xlpm.kod),GK$18),GK$18))</f>
        <v>20</v>
      </c>
      <c r="GL163" s="88" cm="1">
        <f t="array" ref="GL163">_xlfn.LET(_xlpm.rad,$FO163+1,_xlpm.typ,INDEX($E$20:$E$68,_xlpm.rad),_xlpm.kod,INDEX(AD$19:AD$68,_xlpm.rad),IFERROR(IF(AND(_xlpm.typ="H",_xlpm.kod&lt;&gt;""),UPPER(_xlpm.kod),GL$18),GL$18))</f>
        <v>21</v>
      </c>
      <c r="GM163" s="88" cm="1">
        <f t="array" ref="GM163">_xlfn.LET(_xlpm.rad,$FO163+1,_xlpm.typ,INDEX($E$20:$E$68,_xlpm.rad),_xlpm.kod,INDEX(AE$19:AE$68,_xlpm.rad),IFERROR(IF(AND(_xlpm.typ="H",_xlpm.kod&lt;&gt;""),UPPER(_xlpm.kod),GM$18),GM$18))</f>
        <v>22</v>
      </c>
      <c r="GN163" s="88" cm="1">
        <f t="array" ref="GN163">_xlfn.LET(_xlpm.rad,$FO163+1,_xlpm.typ,INDEX($E$20:$E$68,_xlpm.rad),_xlpm.kod,INDEX(AF$19:AF$68,_xlpm.rad),IFERROR(IF(AND(_xlpm.typ="H",_xlpm.kod&lt;&gt;""),UPPER(_xlpm.kod),GN$18),GN$18))</f>
        <v>23</v>
      </c>
      <c r="GO163" s="88" cm="1">
        <f t="array" ref="GO163">_xlfn.LET(_xlpm.rad,$FO163+1,_xlpm.typ,INDEX($E$20:$E$68,_xlpm.rad),_xlpm.kod,INDEX(AG$19:AG$68,_xlpm.rad),IFERROR(IF(AND(_xlpm.typ="H",_xlpm.kod&lt;&gt;""),UPPER(_xlpm.kod),GO$18),GO$18))</f>
        <v>24</v>
      </c>
      <c r="GP163" s="88" cm="1">
        <f t="array" ref="GP163">_xlfn.LET(_xlpm.rad,$FO163+1,_xlpm.typ,INDEX($E$20:$E$68,_xlpm.rad),_xlpm.kod,INDEX(AH$19:AH$68,_xlpm.rad),IFERROR(IF(AND(_xlpm.typ="H",_xlpm.kod&lt;&gt;""),UPPER(_xlpm.kod),GP$18),GP$18))</f>
        <v>25</v>
      </c>
      <c r="GQ163" s="88" cm="1">
        <f t="array" ref="GQ163">_xlfn.LET(_xlpm.rad,$FO163+1,_xlpm.typ,INDEX($E$20:$E$68,_xlpm.rad),_xlpm.kod,INDEX(AI$19:AI$68,_xlpm.rad),IFERROR(IF(AND(_xlpm.typ="H",_xlpm.kod&lt;&gt;""),UPPER(_xlpm.kod),GQ$18),GQ$18))</f>
        <v>26</v>
      </c>
      <c r="GR163" s="88" cm="1">
        <f t="array" ref="GR163">_xlfn.LET(_xlpm.rad,$FO163+1,_xlpm.typ,INDEX($E$20:$E$68,_xlpm.rad),_xlpm.kod,INDEX(AJ$19:AJ$68,_xlpm.rad),IFERROR(IF(AND(_xlpm.typ="H",_xlpm.kod&lt;&gt;""),UPPER(_xlpm.kod),GR$18),GR$18))</f>
        <v>27</v>
      </c>
      <c r="GS163" s="88" cm="1">
        <f t="array" ref="GS163">_xlfn.LET(_xlpm.rad,$FO163+1,_xlpm.typ,INDEX($E$20:$E$68,_xlpm.rad),_xlpm.kod,INDEX(AK$19:AK$68,_xlpm.rad),IFERROR(IF(AND(_xlpm.typ="H",_xlpm.kod&lt;&gt;""),UPPER(_xlpm.kod),GS$18),GS$18))</f>
        <v>28</v>
      </c>
      <c r="GT163" s="88" cm="1">
        <f t="array" ref="GT163">_xlfn.LET(_xlpm.rad,$FO163+1,_xlpm.typ,INDEX($E$20:$E$68,_xlpm.rad),_xlpm.kod,INDEX(AL$19:AL$68,_xlpm.rad),IFERROR(IF(AND(_xlpm.typ="H",_xlpm.kod&lt;&gt;""),UPPER(_xlpm.kod),GT$18),GT$18))</f>
        <v>29</v>
      </c>
      <c r="GU163" s="88" cm="1">
        <f t="array" ref="GU163">_xlfn.LET(_xlpm.rad,$FO163+1,_xlpm.typ,INDEX($E$20:$E$68,_xlpm.rad),_xlpm.kod,INDEX(AM$19:AM$68,_xlpm.rad),IFERROR(IF(AND(_xlpm.typ="H",_xlpm.kod&lt;&gt;""),UPPER(_xlpm.kod),GU$18),GU$18))</f>
        <v>30</v>
      </c>
    </row>
    <row r="164" spans="143:203" x14ac:dyDescent="0.35">
      <c r="EM164" s="91"/>
      <c r="EN164" s="91"/>
      <c r="FR164" s="88" cm="1">
        <f t="array" ref="FR164">_xlfn.LET(_xlpm.rad,$FO163+1,_xlpm.typ,INDEX($E$20:$E$68,_xlpm.rad),_xlpm.kod,INDEX(J$19:J$68,_xlpm.rad),_xlpm.del,INDEX($F$19:$F$68,_xlpm.rad),IFERROR(IF(AND(_xlpm.typ="H",_xlpm.kod&lt;&gt;"",_xlpm.del&lt;&gt;"Hybrid - Thrust + 2 connections"),INDEX(Hyb_Tech,MATCH(_xlpm.kod,Hyb_Code,0)),FR$72),FR$72))</f>
        <v>1</v>
      </c>
      <c r="FS164" s="88" cm="1">
        <f t="array" ref="FS164">_xlfn.LET(_xlpm.rad,$FO163+1,_xlpm.typ,INDEX($E$20:$E$68,_xlpm.rad),_xlpm.kod,INDEX(K$19:K$68,_xlpm.rad),_xlpm.del,INDEX($F$19:$F$68,_xlpm.rad),IFERROR(IF(AND(_xlpm.typ="H",_xlpm.kod&lt;&gt;"",_xlpm.del&lt;&gt;"Hybrid - Thrust + 2 connections"),INDEX(Hyb_Tech,MATCH(_xlpm.kod,Hyb_Code,0)),FS$72),FS$72))</f>
        <v>2</v>
      </c>
      <c r="FT164" s="88" cm="1">
        <f t="array" ref="FT164">_xlfn.LET(_xlpm.rad,$FO163+1,_xlpm.typ,INDEX($E$20:$E$68,_xlpm.rad),_xlpm.kod,INDEX(L$19:L$68,_xlpm.rad),_xlpm.del,INDEX($F$19:$F$68,_xlpm.rad),IFERROR(IF(AND(_xlpm.typ="H",_xlpm.kod&lt;&gt;"",_xlpm.del&lt;&gt;"Hybrid - Thrust + 2 connections"),INDEX(Hyb_Tech,MATCH(_xlpm.kod,Hyb_Code,0)),FT$72),FT$72))</f>
        <v>3</v>
      </c>
      <c r="FU164" s="88" cm="1">
        <f t="array" ref="FU164">_xlfn.LET(_xlpm.rad,$FO163+1,_xlpm.typ,INDEX($E$20:$E$68,_xlpm.rad),_xlpm.kod,INDEX(M$19:M$68,_xlpm.rad),_xlpm.del,INDEX($F$19:$F$68,_xlpm.rad),IFERROR(IF(AND(_xlpm.typ="H",_xlpm.kod&lt;&gt;"",_xlpm.del&lt;&gt;"Hybrid - Thrust + 2 connections"),INDEX(Hyb_Tech,MATCH(_xlpm.kod,Hyb_Code,0)),FU$72),FU$72))</f>
        <v>4</v>
      </c>
      <c r="FV164" s="88" cm="1">
        <f t="array" ref="FV164">_xlfn.LET(_xlpm.rad,$FO163+1,_xlpm.typ,INDEX($E$20:$E$68,_xlpm.rad),_xlpm.kod,INDEX(N$19:N$68,_xlpm.rad),_xlpm.del,INDEX($F$19:$F$68,_xlpm.rad),IFERROR(IF(AND(_xlpm.typ="H",_xlpm.kod&lt;&gt;"",_xlpm.del&lt;&gt;"Hybrid - Thrust + 2 connections"),INDEX(Hyb_Tech,MATCH(_xlpm.kod,Hyb_Code,0)),FV$72),FV$72))</f>
        <v>5</v>
      </c>
      <c r="FW164" s="88" cm="1">
        <f t="array" ref="FW164">_xlfn.LET(_xlpm.rad,$FO163+1,_xlpm.typ,INDEX($E$20:$E$68,_xlpm.rad),_xlpm.kod,INDEX(O$19:O$68,_xlpm.rad),_xlpm.del,INDEX($F$19:$F$68,_xlpm.rad),IFERROR(IF(AND(_xlpm.typ="H",_xlpm.kod&lt;&gt;"",_xlpm.del&lt;&gt;"Hybrid - Thrust + 2 connections"),INDEX(Hyb_Tech,MATCH(_xlpm.kod,Hyb_Code,0)),FW$72),FW$72))</f>
        <v>6</v>
      </c>
      <c r="FX164" s="88" cm="1">
        <f t="array" ref="FX164">_xlfn.LET(_xlpm.rad,$FO163+1,_xlpm.typ,INDEX($E$20:$E$68,_xlpm.rad),_xlpm.kod,INDEX(P$19:P$68,_xlpm.rad),_xlpm.del,INDEX($F$19:$F$68,_xlpm.rad),IFERROR(IF(AND(_xlpm.typ="H",_xlpm.kod&lt;&gt;"",_xlpm.del&lt;&gt;"Hybrid - Thrust + 2 connections"),INDEX(Hyb_Tech,MATCH(_xlpm.kod,Hyb_Code,0)),FX$72),FX$72))</f>
        <v>7</v>
      </c>
      <c r="FY164" s="88" cm="1">
        <f t="array" ref="FY164">_xlfn.LET(_xlpm.rad,$FO163+1,_xlpm.typ,INDEX($E$20:$E$68,_xlpm.rad),_xlpm.kod,INDEX(Q$19:Q$68,_xlpm.rad),_xlpm.del,INDEX($F$19:$F$68,_xlpm.rad),IFERROR(IF(AND(_xlpm.typ="H",_xlpm.kod&lt;&gt;"",_xlpm.del&lt;&gt;"Hybrid - Thrust + 2 connections"),INDEX(Hyb_Tech,MATCH(_xlpm.kod,Hyb_Code,0)),FY$72),FY$72))</f>
        <v>8</v>
      </c>
      <c r="FZ164" s="88" cm="1">
        <f t="array" ref="FZ164">_xlfn.LET(_xlpm.rad,$FO163+1,_xlpm.typ,INDEX($E$20:$E$68,_xlpm.rad),_xlpm.kod,INDEX(R$19:R$68,_xlpm.rad),_xlpm.del,INDEX($F$19:$F$68,_xlpm.rad),IFERROR(IF(AND(_xlpm.typ="H",_xlpm.kod&lt;&gt;"",_xlpm.del&lt;&gt;"Hybrid - Thrust + 2 connections"),INDEX(Hyb_Tech,MATCH(_xlpm.kod,Hyb_Code,0)),FZ$72),FZ$72))</f>
        <v>9</v>
      </c>
      <c r="GA164" s="88" cm="1">
        <f t="array" ref="GA164">_xlfn.LET(_xlpm.rad,$FO163+1,_xlpm.typ,INDEX($E$20:$E$68,_xlpm.rad),_xlpm.kod,INDEX(S$19:S$68,_xlpm.rad),_xlpm.del,INDEX($F$19:$F$68,_xlpm.rad),IFERROR(IF(AND(_xlpm.typ="H",_xlpm.kod&lt;&gt;"",_xlpm.del&lt;&gt;"Hybrid - Thrust + 2 connections"),INDEX(Hyb_Tech,MATCH(_xlpm.kod,Hyb_Code,0)),GA$72),GA$72))</f>
        <v>10</v>
      </c>
      <c r="GB164" s="88" cm="1">
        <f t="array" ref="GB164">_xlfn.LET(_xlpm.rad,$FO163+1,_xlpm.typ,INDEX($E$20:$E$68,_xlpm.rad),_xlpm.kod,INDEX(T$19:T$68,_xlpm.rad),_xlpm.del,INDEX($F$19:$F$68,_xlpm.rad),IFERROR(IF(AND(_xlpm.typ="H",_xlpm.kod&lt;&gt;"",_xlpm.del&lt;&gt;"Hybrid - Thrust + 2 connections"),INDEX(Hyb_Tech,MATCH(_xlpm.kod,Hyb_Code,0)),GB$72),GB$72))</f>
        <v>11</v>
      </c>
      <c r="GC164" s="88" cm="1">
        <f t="array" ref="GC164">_xlfn.LET(_xlpm.rad,$FO163+1,_xlpm.typ,INDEX($E$20:$E$68,_xlpm.rad),_xlpm.kod,INDEX(U$19:U$68,_xlpm.rad),_xlpm.del,INDEX($F$19:$F$68,_xlpm.rad),IFERROR(IF(AND(_xlpm.typ="H",_xlpm.kod&lt;&gt;"",_xlpm.del&lt;&gt;"Hybrid - Thrust + 2 connections"),INDEX(Hyb_Tech,MATCH(_xlpm.kod,Hyb_Code,0)),GC$72),GC$72))</f>
        <v>12</v>
      </c>
      <c r="GD164" s="88" cm="1">
        <f t="array" ref="GD164">_xlfn.LET(_xlpm.rad,$FO163+1,_xlpm.typ,INDEX($E$20:$E$68,_xlpm.rad),_xlpm.kod,INDEX(V$19:V$68,_xlpm.rad),_xlpm.del,INDEX($F$19:$F$68,_xlpm.rad),IFERROR(IF(AND(_xlpm.typ="H",_xlpm.kod&lt;&gt;"",_xlpm.del&lt;&gt;"Hybrid - Thrust + 2 connections"),INDEX(Hyb_Tech,MATCH(_xlpm.kod,Hyb_Code,0)),GD$72),GD$72))</f>
        <v>13</v>
      </c>
      <c r="GE164" s="88" cm="1">
        <f t="array" ref="GE164">_xlfn.LET(_xlpm.rad,$FO163+1,_xlpm.typ,INDEX($E$20:$E$68,_xlpm.rad),_xlpm.kod,INDEX(W$19:W$68,_xlpm.rad),_xlpm.del,INDEX($F$19:$F$68,_xlpm.rad),IFERROR(IF(AND(_xlpm.typ="H",_xlpm.kod&lt;&gt;"",_xlpm.del&lt;&gt;"Hybrid - Thrust + 2 connections"),INDEX(Hyb_Tech,MATCH(_xlpm.kod,Hyb_Code,0)),GE$72),GE$72))</f>
        <v>14</v>
      </c>
      <c r="GF164" s="88" cm="1">
        <f t="array" ref="GF164">_xlfn.LET(_xlpm.rad,$FO163+1,_xlpm.typ,INDEX($E$20:$E$68,_xlpm.rad),_xlpm.kod,INDEX(X$19:X$68,_xlpm.rad),_xlpm.del,INDEX($F$19:$F$68,_xlpm.rad),IFERROR(IF(AND(_xlpm.typ="H",_xlpm.kod&lt;&gt;"",_xlpm.del&lt;&gt;"Hybrid - Thrust + 2 connections"),INDEX(Hyb_Tech,MATCH(_xlpm.kod,Hyb_Code,0)),GF$72),GF$72))</f>
        <v>15</v>
      </c>
      <c r="GG164" s="88" cm="1">
        <f t="array" ref="GG164">_xlfn.LET(_xlpm.rad,$FO163+1,_xlpm.typ,INDEX($E$20:$E$68,_xlpm.rad),_xlpm.kod,INDEX(Y$19:Y$68,_xlpm.rad),_xlpm.del,INDEX($F$19:$F$68,_xlpm.rad),IFERROR(IF(AND(_xlpm.typ="H",_xlpm.kod&lt;&gt;"",_xlpm.del&lt;&gt;"Hybrid - Thrust + 2 connections"),INDEX(Hyb_Tech,MATCH(_xlpm.kod,Hyb_Code,0)),GG$72),GG$72))</f>
        <v>16</v>
      </c>
      <c r="GH164" s="88" cm="1">
        <f t="array" ref="GH164">_xlfn.LET(_xlpm.rad,$FO163+1,_xlpm.typ,INDEX($E$20:$E$68,_xlpm.rad),_xlpm.kod,INDEX(Z$19:Z$68,_xlpm.rad),_xlpm.del,INDEX($F$19:$F$68,_xlpm.rad),IFERROR(IF(AND(_xlpm.typ="H",_xlpm.kod&lt;&gt;"",_xlpm.del&lt;&gt;"Hybrid - Thrust + 2 connections"),INDEX(Hyb_Tech,MATCH(_xlpm.kod,Hyb_Code,0)),GH$72),GH$72))</f>
        <v>17</v>
      </c>
      <c r="GI164" s="88" cm="1">
        <f t="array" ref="GI164">_xlfn.LET(_xlpm.rad,$FO163+1,_xlpm.typ,INDEX($E$20:$E$68,_xlpm.rad),_xlpm.kod,INDEX(AA$19:AA$68,_xlpm.rad),_xlpm.del,INDEX($F$19:$F$68,_xlpm.rad),IFERROR(IF(AND(_xlpm.typ="H",_xlpm.kod&lt;&gt;"",_xlpm.del&lt;&gt;"Hybrid - Thrust + 2 connections"),INDEX(Hyb_Tech,MATCH(_xlpm.kod,Hyb_Code,0)),GI$72),GI$72))</f>
        <v>18</v>
      </c>
      <c r="GJ164" s="88" cm="1">
        <f t="array" ref="GJ164">_xlfn.LET(_xlpm.rad,$FO163+1,_xlpm.typ,INDEX($E$20:$E$68,_xlpm.rad),_xlpm.kod,INDEX(AB$19:AB$68,_xlpm.rad),_xlpm.del,INDEX($F$19:$F$68,_xlpm.rad),IFERROR(IF(AND(_xlpm.typ="H",_xlpm.kod&lt;&gt;"",_xlpm.del&lt;&gt;"Hybrid - Thrust + 2 connections"),INDEX(Hyb_Tech,MATCH(_xlpm.kod,Hyb_Code,0)),GJ$72),GJ$72))</f>
        <v>19</v>
      </c>
      <c r="GK164" s="88" cm="1">
        <f t="array" ref="GK164">_xlfn.LET(_xlpm.rad,$FO163+1,_xlpm.typ,INDEX($E$20:$E$68,_xlpm.rad),_xlpm.kod,INDEX(AC$19:AC$68,_xlpm.rad),_xlpm.del,INDEX($F$19:$F$68,_xlpm.rad),IFERROR(IF(AND(_xlpm.typ="H",_xlpm.kod&lt;&gt;"",_xlpm.del&lt;&gt;"Hybrid - Thrust + 2 connections"),INDEX(Hyb_Tech,MATCH(_xlpm.kod,Hyb_Code,0)),GK$72),GK$72))</f>
        <v>20</v>
      </c>
      <c r="GL164" s="88" cm="1">
        <f t="array" ref="GL164">_xlfn.LET(_xlpm.rad,$FO163+1,_xlpm.typ,INDEX($E$20:$E$68,_xlpm.rad),_xlpm.kod,INDEX(AD$19:AD$68,_xlpm.rad),_xlpm.del,INDEX($F$19:$F$68,_xlpm.rad),IFERROR(IF(AND(_xlpm.typ="H",_xlpm.kod&lt;&gt;"",_xlpm.del&lt;&gt;"Hybrid - Thrust + 2 connections"),INDEX(Hyb_Tech,MATCH(_xlpm.kod,Hyb_Code,0)),GL$72),GL$72))</f>
        <v>21</v>
      </c>
      <c r="GM164" s="88" cm="1">
        <f t="array" ref="GM164">_xlfn.LET(_xlpm.rad,$FO163+1,_xlpm.typ,INDEX($E$20:$E$68,_xlpm.rad),_xlpm.kod,INDEX(AE$19:AE$68,_xlpm.rad),_xlpm.del,INDEX($F$19:$F$68,_xlpm.rad),IFERROR(IF(AND(_xlpm.typ="H",_xlpm.kod&lt;&gt;"",_xlpm.del&lt;&gt;"Hybrid - Thrust + 2 connections"),INDEX(Hyb_Tech,MATCH(_xlpm.kod,Hyb_Code,0)),GM$72),GM$72))</f>
        <v>22</v>
      </c>
      <c r="GN164" s="88" cm="1">
        <f t="array" ref="GN164">_xlfn.LET(_xlpm.rad,$FO163+1,_xlpm.typ,INDEX($E$20:$E$68,_xlpm.rad),_xlpm.kod,INDEX(AF$19:AF$68,_xlpm.rad),_xlpm.del,INDEX($F$19:$F$68,_xlpm.rad),IFERROR(IF(AND(_xlpm.typ="H",_xlpm.kod&lt;&gt;"",_xlpm.del&lt;&gt;"Hybrid - Thrust + 2 connections"),INDEX(Hyb_Tech,MATCH(_xlpm.kod,Hyb_Code,0)),GN$72),GN$72))</f>
        <v>23</v>
      </c>
      <c r="GO164" s="88" cm="1">
        <f t="array" ref="GO164">_xlfn.LET(_xlpm.rad,$FO163+1,_xlpm.typ,INDEX($E$20:$E$68,_xlpm.rad),_xlpm.kod,INDEX(AG$19:AG$68,_xlpm.rad),_xlpm.del,INDEX($F$19:$F$68,_xlpm.rad),IFERROR(IF(AND(_xlpm.typ="H",_xlpm.kod&lt;&gt;"",_xlpm.del&lt;&gt;"Hybrid - Thrust + 2 connections"),INDEX(Hyb_Tech,MATCH(_xlpm.kod,Hyb_Code,0)),GO$72),GO$72))</f>
        <v>24</v>
      </c>
      <c r="GP164" s="88" cm="1">
        <f t="array" ref="GP164">_xlfn.LET(_xlpm.rad,$FO163+1,_xlpm.typ,INDEX($E$20:$E$68,_xlpm.rad),_xlpm.kod,INDEX(AH$19:AH$68,_xlpm.rad),_xlpm.del,INDEX($F$19:$F$68,_xlpm.rad),IFERROR(IF(AND(_xlpm.typ="H",_xlpm.kod&lt;&gt;"",_xlpm.del&lt;&gt;"Hybrid - Thrust + 2 connections"),INDEX(Hyb_Tech,MATCH(_xlpm.kod,Hyb_Code,0)),GP$72),GP$72))</f>
        <v>25</v>
      </c>
      <c r="GQ164" s="88" cm="1">
        <f t="array" ref="GQ164">_xlfn.LET(_xlpm.rad,$FO163+1,_xlpm.typ,INDEX($E$20:$E$68,_xlpm.rad),_xlpm.kod,INDEX(AI$19:AI$68,_xlpm.rad),_xlpm.del,INDEX($F$19:$F$68,_xlpm.rad),IFERROR(IF(AND(_xlpm.typ="H",_xlpm.kod&lt;&gt;"",_xlpm.del&lt;&gt;"Hybrid - Thrust + 2 connections"),INDEX(Hyb_Tech,MATCH(_xlpm.kod,Hyb_Code,0)),GQ$72),GQ$72))</f>
        <v>26</v>
      </c>
      <c r="GR164" s="88" cm="1">
        <f t="array" ref="GR164">_xlfn.LET(_xlpm.rad,$FO163+1,_xlpm.typ,INDEX($E$20:$E$68,_xlpm.rad),_xlpm.kod,INDEX(AJ$19:AJ$68,_xlpm.rad),_xlpm.del,INDEX($F$19:$F$68,_xlpm.rad),IFERROR(IF(AND(_xlpm.typ="H",_xlpm.kod&lt;&gt;"",_xlpm.del&lt;&gt;"Hybrid - Thrust + 2 connections"),INDEX(Hyb_Tech,MATCH(_xlpm.kod,Hyb_Code,0)),GR$72),GR$72))</f>
        <v>27</v>
      </c>
      <c r="GS164" s="88" cm="1">
        <f t="array" ref="GS164">_xlfn.LET(_xlpm.rad,$FO163+1,_xlpm.typ,INDEX($E$20:$E$68,_xlpm.rad),_xlpm.kod,INDEX(AK$19:AK$68,_xlpm.rad),_xlpm.del,INDEX($F$19:$F$68,_xlpm.rad),IFERROR(IF(AND(_xlpm.typ="H",_xlpm.kod&lt;&gt;"",_xlpm.del&lt;&gt;"Hybrid - Thrust + 2 connections"),INDEX(Hyb_Tech,MATCH(_xlpm.kod,Hyb_Code,0)),GS$72),GS$72))</f>
        <v>28</v>
      </c>
      <c r="GT164" s="88" cm="1">
        <f t="array" ref="GT164">_xlfn.LET(_xlpm.rad,$FO163+1,_xlpm.typ,INDEX($E$20:$E$68,_xlpm.rad),_xlpm.kod,INDEX(AL$19:AL$68,_xlpm.rad),_xlpm.del,INDEX($F$19:$F$68,_xlpm.rad),IFERROR(IF(AND(_xlpm.typ="H",_xlpm.kod&lt;&gt;"",_xlpm.del&lt;&gt;"Hybrid - Thrust + 2 connections"),INDEX(Hyb_Tech,MATCH(_xlpm.kod,Hyb_Code,0)),GT$72),GT$72))</f>
        <v>29</v>
      </c>
      <c r="GU164" s="88" cm="1">
        <f t="array" ref="GU164">_xlfn.LET(_xlpm.rad,$FO163+1,_xlpm.typ,INDEX($E$20:$E$68,_xlpm.rad),_xlpm.kod,INDEX(AM$19:AM$68,_xlpm.rad),_xlpm.del,INDEX($F$19:$F$68,_xlpm.rad),IFERROR(IF(AND(_xlpm.typ="H",_xlpm.kod&lt;&gt;"",_xlpm.del&lt;&gt;"Hybrid - Thrust + 2 connections"),INDEX(Hyb_Tech,MATCH(_xlpm.kod,Hyb_Code,0)),GU$72),GU$72))</f>
        <v>30</v>
      </c>
    </row>
    <row r="165" spans="143:203" x14ac:dyDescent="0.35">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P165" s="91" t="str" cm="1">
        <f t="array" ref="FP165">IFERROR(IF($T$5="",IF(COUNTIF(FR165:GU165,1)&gt;$FP$18,INDEX($FR$73:$GU$170,$FO163*5/2+1,MATCH(1,FR165:GU165,0)),""),IF(SUM(FR165:GU165)&gt;2,INDEX($FR$73:$GU$170,$FO163*5/2+1,MATCH(1,FR165:GU165,0)),"")),"")</f>
        <v/>
      </c>
      <c r="FQ165" s="88" t="str" cm="1">
        <f t="array" ref="FQ165">IFERROR(IF(LEFT(FP165,1)="C",IF(RIGHT(FP165,1)="+",LEFT(FP165,LEN(FP165)-1),CONCATENATE(FP165,"+")),IF(SUM($FR165:$GU165)&gt;$FP$18,INDEX($FR$73:$GU$170,$FO163*5/2+1,MATCH(0.5,FR165:GU165,0)),"")),"")</f>
        <v/>
      </c>
      <c r="FR165" s="88" t="str">
        <f t="shared" ref="FR165:GU165" si="3410">IF(AND($BV$6="D",LEFT(FR163,1)="C"),IF(COUNTIF($FR164:$GU164,FR164)&gt;$FP$18,INDEX(Hyb_Tech_Value,MATCH(FR163,Hyb_Code,0)),""),IF(COUNTIF($FR164:$GU164,FR164)&gt;$FP$18,INDEX(Hyb_Tech_Value,MATCH(FR163,Hyb_Code,0)),""))</f>
        <v/>
      </c>
      <c r="FS165" s="88" t="str">
        <f t="shared" si="3410"/>
        <v/>
      </c>
      <c r="FT165" s="88" t="str">
        <f t="shared" si="3410"/>
        <v/>
      </c>
      <c r="FU165" s="88" t="str">
        <f t="shared" si="3410"/>
        <v/>
      </c>
      <c r="FV165" s="88" t="str">
        <f t="shared" si="3410"/>
        <v/>
      </c>
      <c r="FW165" s="88" t="str">
        <f t="shared" si="3410"/>
        <v/>
      </c>
      <c r="FX165" s="88" t="str">
        <f t="shared" si="3410"/>
        <v/>
      </c>
      <c r="FY165" s="88" t="str">
        <f t="shared" si="3410"/>
        <v/>
      </c>
      <c r="FZ165" s="88" t="str">
        <f t="shared" si="3410"/>
        <v/>
      </c>
      <c r="GA165" s="88" t="str">
        <f t="shared" si="3410"/>
        <v/>
      </c>
      <c r="GB165" s="88" t="str">
        <f t="shared" si="3410"/>
        <v/>
      </c>
      <c r="GC165" s="88" t="str">
        <f t="shared" si="3410"/>
        <v/>
      </c>
      <c r="GD165" s="88" t="str">
        <f t="shared" si="3410"/>
        <v/>
      </c>
      <c r="GE165" s="88" t="str">
        <f t="shared" si="3410"/>
        <v/>
      </c>
      <c r="GF165" s="88" t="str">
        <f t="shared" si="3410"/>
        <v/>
      </c>
      <c r="GG165" s="88" t="str">
        <f t="shared" si="3410"/>
        <v/>
      </c>
      <c r="GH165" s="88" t="str">
        <f t="shared" si="3410"/>
        <v/>
      </c>
      <c r="GI165" s="88" t="str">
        <f t="shared" si="3410"/>
        <v/>
      </c>
      <c r="GJ165" s="88" t="str">
        <f t="shared" si="3410"/>
        <v/>
      </c>
      <c r="GK165" s="88" t="str">
        <f t="shared" si="3410"/>
        <v/>
      </c>
      <c r="GL165" s="88" t="str">
        <f t="shared" si="3410"/>
        <v/>
      </c>
      <c r="GM165" s="88" t="str">
        <f t="shared" si="3410"/>
        <v/>
      </c>
      <c r="GN165" s="88" t="str">
        <f t="shared" si="3410"/>
        <v/>
      </c>
      <c r="GO165" s="88" t="str">
        <f t="shared" si="3410"/>
        <v/>
      </c>
      <c r="GP165" s="88" t="str">
        <f t="shared" si="3410"/>
        <v/>
      </c>
      <c r="GQ165" s="88" t="str">
        <f t="shared" si="3410"/>
        <v/>
      </c>
      <c r="GR165" s="88" t="str">
        <f t="shared" si="3410"/>
        <v/>
      </c>
      <c r="GS165" s="88" t="str">
        <f t="shared" si="3410"/>
        <v/>
      </c>
      <c r="GT165" s="88" t="str">
        <f t="shared" si="3410"/>
        <v/>
      </c>
      <c r="GU165" s="88" t="str">
        <f t="shared" si="3410"/>
        <v/>
      </c>
    </row>
    <row r="166" spans="143:203" x14ac:dyDescent="0.35">
      <c r="EM166" s="91"/>
      <c r="EN166" s="91"/>
      <c r="FQ166" s="88"/>
      <c r="FR166" s="88" t="str">
        <f t="shared" ref="FR166:GU166" si="3411">IFERROR(IF(LEFT(FR163,FIND("*",FR163)-1)=LEFT($FQ$73,FIND("*",$FQ$73)-1),0.5,""),"")</f>
        <v/>
      </c>
      <c r="FS166" s="88" t="str">
        <f t="shared" si="3411"/>
        <v/>
      </c>
      <c r="FT166" s="88" t="str">
        <f t="shared" si="3411"/>
        <v/>
      </c>
      <c r="FU166" s="88" t="str">
        <f t="shared" si="3411"/>
        <v/>
      </c>
      <c r="FV166" s="88" t="str">
        <f t="shared" si="3411"/>
        <v/>
      </c>
      <c r="FW166" s="88" t="str">
        <f t="shared" si="3411"/>
        <v/>
      </c>
      <c r="FX166" s="88" t="str">
        <f t="shared" si="3411"/>
        <v/>
      </c>
      <c r="FY166" s="88" t="str">
        <f t="shared" si="3411"/>
        <v/>
      </c>
      <c r="FZ166" s="88" t="str">
        <f t="shared" si="3411"/>
        <v/>
      </c>
      <c r="GA166" s="88" t="str">
        <f t="shared" si="3411"/>
        <v/>
      </c>
      <c r="GB166" s="88" t="str">
        <f t="shared" si="3411"/>
        <v/>
      </c>
      <c r="GC166" s="88" t="str">
        <f t="shared" si="3411"/>
        <v/>
      </c>
      <c r="GD166" s="88" t="str">
        <f t="shared" si="3411"/>
        <v/>
      </c>
      <c r="GE166" s="88" t="str">
        <f t="shared" si="3411"/>
        <v/>
      </c>
      <c r="GF166" s="88" t="str">
        <f t="shared" si="3411"/>
        <v/>
      </c>
      <c r="GG166" s="88" t="str">
        <f t="shared" si="3411"/>
        <v/>
      </c>
      <c r="GH166" s="88" t="str">
        <f t="shared" si="3411"/>
        <v/>
      </c>
      <c r="GI166" s="88" t="str">
        <f t="shared" si="3411"/>
        <v/>
      </c>
      <c r="GJ166" s="88" t="str">
        <f t="shared" si="3411"/>
        <v/>
      </c>
      <c r="GK166" s="88" t="str">
        <f t="shared" si="3411"/>
        <v/>
      </c>
      <c r="GL166" s="88" t="str">
        <f t="shared" si="3411"/>
        <v/>
      </c>
      <c r="GM166" s="88" t="str">
        <f t="shared" si="3411"/>
        <v/>
      </c>
      <c r="GN166" s="88" t="str">
        <f t="shared" si="3411"/>
        <v/>
      </c>
      <c r="GO166" s="88" t="str">
        <f t="shared" si="3411"/>
        <v/>
      </c>
      <c r="GP166" s="88" t="str">
        <f t="shared" si="3411"/>
        <v/>
      </c>
      <c r="GQ166" s="88" t="str">
        <f t="shared" si="3411"/>
        <v/>
      </c>
      <c r="GR166" s="88" t="str">
        <f t="shared" si="3411"/>
        <v/>
      </c>
      <c r="GS166" s="88" t="str">
        <f t="shared" si="3411"/>
        <v/>
      </c>
      <c r="GT166" s="88" t="str">
        <f t="shared" si="3411"/>
        <v/>
      </c>
      <c r="GU166" s="88" t="str">
        <f t="shared" si="3411"/>
        <v/>
      </c>
    </row>
    <row r="167" spans="143:203" x14ac:dyDescent="0.35">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Q167" s="88"/>
      <c r="FR167" s="88"/>
      <c r="FS167" s="88"/>
      <c r="FT167" s="88"/>
      <c r="FU167" s="88"/>
      <c r="FV167" s="88"/>
      <c r="FW167" s="88"/>
      <c r="FX167" s="88"/>
      <c r="FY167" s="88"/>
      <c r="FZ167" s="88"/>
      <c r="GA167" s="88"/>
      <c r="GB167" s="88"/>
      <c r="GC167" s="88"/>
      <c r="GD167" s="88"/>
      <c r="GE167" s="88"/>
      <c r="GF167" s="88"/>
      <c r="GG167" s="88"/>
      <c r="GH167" s="88"/>
      <c r="GI167" s="88"/>
      <c r="GJ167" s="88"/>
      <c r="GK167" s="88"/>
      <c r="GL167" s="88"/>
      <c r="GM167" s="88"/>
      <c r="GN167" s="88"/>
      <c r="GO167" s="88"/>
      <c r="GP167" s="88"/>
      <c r="GQ167" s="88"/>
      <c r="GR167" s="88"/>
      <c r="GS167" s="88"/>
      <c r="GT167" s="88"/>
      <c r="GU167" s="88"/>
    </row>
    <row r="168" spans="143:203" x14ac:dyDescent="0.35">
      <c r="EM168" s="91"/>
      <c r="EN168" s="91"/>
      <c r="FO168" s="91">
        <v>38</v>
      </c>
      <c r="FP168" s="88" t="str">
        <f t="shared" ref="FP168" si="3412">IF(SUM(FR171:GU171)&gt;2,FQ168,"")</f>
        <v/>
      </c>
      <c r="FQ168" s="88" t="str" cm="1">
        <f t="array" ref="FQ168">IF(SUM(FR170:GU170)&gt;0,_xlfn.LET(_xlpm.area,FR168:GU168,_xlpm.texts,_xlfn.UNIQUE(_xlfn._xlws.FILTER(_xlpm.area,_xlpm.area&lt;&gt;"")),_xlpm.number,COUNTIF(_xlpm.area,_xlpm.texts),INDEX(_xlpm.texts,MATCH(MAX(_xlpm.number),_xlpm.number,0))),"")</f>
        <v/>
      </c>
      <c r="FR168" s="88" cm="1">
        <f t="array" ref="FR168">_xlfn.LET(_xlpm.rad,$FO168+1,_xlpm.typ,INDEX($E$20:$E$68,_xlpm.rad),_xlpm.kod,INDEX(J$19:J$68,_xlpm.rad),IFERROR(IF(AND(_xlpm.typ="H",_xlpm.kod&lt;&gt;""),UPPER(_xlpm.kod),FR$18),FR$18))</f>
        <v>1</v>
      </c>
      <c r="FS168" s="88" cm="1">
        <f t="array" ref="FS168">_xlfn.LET(_xlpm.rad,$FO168+1,_xlpm.typ,INDEX($E$20:$E$68,_xlpm.rad),_xlpm.kod,INDEX(K$19:K$68,_xlpm.rad),IFERROR(IF(AND(_xlpm.typ="H",_xlpm.kod&lt;&gt;""),UPPER(_xlpm.kod),FS$18),FS$18))</f>
        <v>2</v>
      </c>
      <c r="FT168" s="88" cm="1">
        <f t="array" ref="FT168">_xlfn.LET(_xlpm.rad,$FO168+1,_xlpm.typ,INDEX($E$20:$E$68,_xlpm.rad),_xlpm.kod,INDEX(L$19:L$68,_xlpm.rad),IFERROR(IF(AND(_xlpm.typ="H",_xlpm.kod&lt;&gt;""),UPPER(_xlpm.kod),FT$18),FT$18))</f>
        <v>3</v>
      </c>
      <c r="FU168" s="88" cm="1">
        <f t="array" ref="FU168">_xlfn.LET(_xlpm.rad,$FO168+1,_xlpm.typ,INDEX($E$20:$E$68,_xlpm.rad),_xlpm.kod,INDEX(M$19:M$68,_xlpm.rad),IFERROR(IF(AND(_xlpm.typ="H",_xlpm.kod&lt;&gt;""),UPPER(_xlpm.kod),FU$18),FU$18))</f>
        <v>4</v>
      </c>
      <c r="FV168" s="88" cm="1">
        <f t="array" ref="FV168">_xlfn.LET(_xlpm.rad,$FO168+1,_xlpm.typ,INDEX($E$20:$E$68,_xlpm.rad),_xlpm.kod,INDEX(N$19:N$68,_xlpm.rad),IFERROR(IF(AND(_xlpm.typ="H",_xlpm.kod&lt;&gt;""),UPPER(_xlpm.kod),FV$18),FV$18))</f>
        <v>5</v>
      </c>
      <c r="FW168" s="88" cm="1">
        <f t="array" ref="FW168">_xlfn.LET(_xlpm.rad,$FO168+1,_xlpm.typ,INDEX($E$20:$E$68,_xlpm.rad),_xlpm.kod,INDEX(O$19:O$68,_xlpm.rad),IFERROR(IF(AND(_xlpm.typ="H",_xlpm.kod&lt;&gt;""),UPPER(_xlpm.kod),FW$18),FW$18))</f>
        <v>6</v>
      </c>
      <c r="FX168" s="88" cm="1">
        <f t="array" ref="FX168">_xlfn.LET(_xlpm.rad,$FO168+1,_xlpm.typ,INDEX($E$20:$E$68,_xlpm.rad),_xlpm.kod,INDEX(P$19:P$68,_xlpm.rad),IFERROR(IF(AND(_xlpm.typ="H",_xlpm.kod&lt;&gt;""),UPPER(_xlpm.kod),FX$18),FX$18))</f>
        <v>7</v>
      </c>
      <c r="FY168" s="88" cm="1">
        <f t="array" ref="FY168">_xlfn.LET(_xlpm.rad,$FO168+1,_xlpm.typ,INDEX($E$20:$E$68,_xlpm.rad),_xlpm.kod,INDEX(Q$19:Q$68,_xlpm.rad),IFERROR(IF(AND(_xlpm.typ="H",_xlpm.kod&lt;&gt;""),UPPER(_xlpm.kod),FY$18),FY$18))</f>
        <v>8</v>
      </c>
      <c r="FZ168" s="88" cm="1">
        <f t="array" ref="FZ168">_xlfn.LET(_xlpm.rad,$FO168+1,_xlpm.typ,INDEX($E$20:$E$68,_xlpm.rad),_xlpm.kod,INDEX(R$19:R$68,_xlpm.rad),IFERROR(IF(AND(_xlpm.typ="H",_xlpm.kod&lt;&gt;""),UPPER(_xlpm.kod),FZ$18),FZ$18))</f>
        <v>9</v>
      </c>
      <c r="GA168" s="88" cm="1">
        <f t="array" ref="GA168">_xlfn.LET(_xlpm.rad,$FO168+1,_xlpm.typ,INDEX($E$20:$E$68,_xlpm.rad),_xlpm.kod,INDEX(S$19:S$68,_xlpm.rad),IFERROR(IF(AND(_xlpm.typ="H",_xlpm.kod&lt;&gt;""),UPPER(_xlpm.kod),GA$18),GA$18))</f>
        <v>10</v>
      </c>
      <c r="GB168" s="88" cm="1">
        <f t="array" ref="GB168">_xlfn.LET(_xlpm.rad,$FO168+1,_xlpm.typ,INDEX($E$20:$E$68,_xlpm.rad),_xlpm.kod,INDEX(T$19:T$68,_xlpm.rad),IFERROR(IF(AND(_xlpm.typ="H",_xlpm.kod&lt;&gt;""),UPPER(_xlpm.kod),GB$18),GB$18))</f>
        <v>11</v>
      </c>
      <c r="GC168" s="88" cm="1">
        <f t="array" ref="GC168">_xlfn.LET(_xlpm.rad,$FO168+1,_xlpm.typ,INDEX($E$20:$E$68,_xlpm.rad),_xlpm.kod,INDEX(U$19:U$68,_xlpm.rad),IFERROR(IF(AND(_xlpm.typ="H",_xlpm.kod&lt;&gt;""),UPPER(_xlpm.kod),GC$18),GC$18))</f>
        <v>12</v>
      </c>
      <c r="GD168" s="88" cm="1">
        <f t="array" ref="GD168">_xlfn.LET(_xlpm.rad,$FO168+1,_xlpm.typ,INDEX($E$20:$E$68,_xlpm.rad),_xlpm.kod,INDEX(V$19:V$68,_xlpm.rad),IFERROR(IF(AND(_xlpm.typ="H",_xlpm.kod&lt;&gt;""),UPPER(_xlpm.kod),GD$18),GD$18))</f>
        <v>13</v>
      </c>
      <c r="GE168" s="88" cm="1">
        <f t="array" ref="GE168">_xlfn.LET(_xlpm.rad,$FO168+1,_xlpm.typ,INDEX($E$20:$E$68,_xlpm.rad),_xlpm.kod,INDEX(W$19:W$68,_xlpm.rad),IFERROR(IF(AND(_xlpm.typ="H",_xlpm.kod&lt;&gt;""),UPPER(_xlpm.kod),GE$18),GE$18))</f>
        <v>14</v>
      </c>
      <c r="GF168" s="88" cm="1">
        <f t="array" ref="GF168">_xlfn.LET(_xlpm.rad,$FO168+1,_xlpm.typ,INDEX($E$20:$E$68,_xlpm.rad),_xlpm.kod,INDEX(X$19:X$68,_xlpm.rad),IFERROR(IF(AND(_xlpm.typ="H",_xlpm.kod&lt;&gt;""),UPPER(_xlpm.kod),GF$18),GF$18))</f>
        <v>15</v>
      </c>
      <c r="GG168" s="88" cm="1">
        <f t="array" ref="GG168">_xlfn.LET(_xlpm.rad,$FO168+1,_xlpm.typ,INDEX($E$20:$E$68,_xlpm.rad),_xlpm.kod,INDEX(Y$19:Y$68,_xlpm.rad),IFERROR(IF(AND(_xlpm.typ="H",_xlpm.kod&lt;&gt;""),UPPER(_xlpm.kod),GG$18),GG$18))</f>
        <v>16</v>
      </c>
      <c r="GH168" s="88" cm="1">
        <f t="array" ref="GH168">_xlfn.LET(_xlpm.rad,$FO168+1,_xlpm.typ,INDEX($E$20:$E$68,_xlpm.rad),_xlpm.kod,INDEX(Z$19:Z$68,_xlpm.rad),IFERROR(IF(AND(_xlpm.typ="H",_xlpm.kod&lt;&gt;""),UPPER(_xlpm.kod),GH$18),GH$18))</f>
        <v>17</v>
      </c>
      <c r="GI168" s="88" cm="1">
        <f t="array" ref="GI168">_xlfn.LET(_xlpm.rad,$FO168+1,_xlpm.typ,INDEX($E$20:$E$68,_xlpm.rad),_xlpm.kod,INDEX(AA$19:AA$68,_xlpm.rad),IFERROR(IF(AND(_xlpm.typ="H",_xlpm.kod&lt;&gt;""),UPPER(_xlpm.kod),GI$18),GI$18))</f>
        <v>18</v>
      </c>
      <c r="GJ168" s="88" cm="1">
        <f t="array" ref="GJ168">_xlfn.LET(_xlpm.rad,$FO168+1,_xlpm.typ,INDEX($E$20:$E$68,_xlpm.rad),_xlpm.kod,INDEX(AB$19:AB$68,_xlpm.rad),IFERROR(IF(AND(_xlpm.typ="H",_xlpm.kod&lt;&gt;""),UPPER(_xlpm.kod),GJ$18),GJ$18))</f>
        <v>19</v>
      </c>
      <c r="GK168" s="88" cm="1">
        <f t="array" ref="GK168">_xlfn.LET(_xlpm.rad,$FO168+1,_xlpm.typ,INDEX($E$20:$E$68,_xlpm.rad),_xlpm.kod,INDEX(AC$19:AC$68,_xlpm.rad),IFERROR(IF(AND(_xlpm.typ="H",_xlpm.kod&lt;&gt;""),UPPER(_xlpm.kod),GK$18),GK$18))</f>
        <v>20</v>
      </c>
      <c r="GL168" s="88" cm="1">
        <f t="array" ref="GL168">_xlfn.LET(_xlpm.rad,$FO168+1,_xlpm.typ,INDEX($E$20:$E$68,_xlpm.rad),_xlpm.kod,INDEX(AD$19:AD$68,_xlpm.rad),IFERROR(IF(AND(_xlpm.typ="H",_xlpm.kod&lt;&gt;""),UPPER(_xlpm.kod),GL$18),GL$18))</f>
        <v>21</v>
      </c>
      <c r="GM168" s="88" cm="1">
        <f t="array" ref="GM168">_xlfn.LET(_xlpm.rad,$FO168+1,_xlpm.typ,INDEX($E$20:$E$68,_xlpm.rad),_xlpm.kod,INDEX(AE$19:AE$68,_xlpm.rad),IFERROR(IF(AND(_xlpm.typ="H",_xlpm.kod&lt;&gt;""),UPPER(_xlpm.kod),GM$18),GM$18))</f>
        <v>22</v>
      </c>
      <c r="GN168" s="88" cm="1">
        <f t="array" ref="GN168">_xlfn.LET(_xlpm.rad,$FO168+1,_xlpm.typ,INDEX($E$20:$E$68,_xlpm.rad),_xlpm.kod,INDEX(AF$19:AF$68,_xlpm.rad),IFERROR(IF(AND(_xlpm.typ="H",_xlpm.kod&lt;&gt;""),UPPER(_xlpm.kod),GN$18),GN$18))</f>
        <v>23</v>
      </c>
      <c r="GO168" s="88" cm="1">
        <f t="array" ref="GO168">_xlfn.LET(_xlpm.rad,$FO168+1,_xlpm.typ,INDEX($E$20:$E$68,_xlpm.rad),_xlpm.kod,INDEX(AG$19:AG$68,_xlpm.rad),IFERROR(IF(AND(_xlpm.typ="H",_xlpm.kod&lt;&gt;""),UPPER(_xlpm.kod),GO$18),GO$18))</f>
        <v>24</v>
      </c>
      <c r="GP168" s="88" cm="1">
        <f t="array" ref="GP168">_xlfn.LET(_xlpm.rad,$FO168+1,_xlpm.typ,INDEX($E$20:$E$68,_xlpm.rad),_xlpm.kod,INDEX(AH$19:AH$68,_xlpm.rad),IFERROR(IF(AND(_xlpm.typ="H",_xlpm.kod&lt;&gt;""),UPPER(_xlpm.kod),GP$18),GP$18))</f>
        <v>25</v>
      </c>
      <c r="GQ168" s="88" cm="1">
        <f t="array" ref="GQ168">_xlfn.LET(_xlpm.rad,$FO168+1,_xlpm.typ,INDEX($E$20:$E$68,_xlpm.rad),_xlpm.kod,INDEX(AI$19:AI$68,_xlpm.rad),IFERROR(IF(AND(_xlpm.typ="H",_xlpm.kod&lt;&gt;""),UPPER(_xlpm.kod),GQ$18),GQ$18))</f>
        <v>26</v>
      </c>
      <c r="GR168" s="88" cm="1">
        <f t="array" ref="GR168">_xlfn.LET(_xlpm.rad,$FO168+1,_xlpm.typ,INDEX($E$20:$E$68,_xlpm.rad),_xlpm.kod,INDEX(AJ$19:AJ$68,_xlpm.rad),IFERROR(IF(AND(_xlpm.typ="H",_xlpm.kod&lt;&gt;""),UPPER(_xlpm.kod),GR$18),GR$18))</f>
        <v>27</v>
      </c>
      <c r="GS168" s="88" cm="1">
        <f t="array" ref="GS168">_xlfn.LET(_xlpm.rad,$FO168+1,_xlpm.typ,INDEX($E$20:$E$68,_xlpm.rad),_xlpm.kod,INDEX(AK$19:AK$68,_xlpm.rad),IFERROR(IF(AND(_xlpm.typ="H",_xlpm.kod&lt;&gt;""),UPPER(_xlpm.kod),GS$18),GS$18))</f>
        <v>28</v>
      </c>
      <c r="GT168" s="88" cm="1">
        <f t="array" ref="GT168">_xlfn.LET(_xlpm.rad,$FO168+1,_xlpm.typ,INDEX($E$20:$E$68,_xlpm.rad),_xlpm.kod,INDEX(AL$19:AL$68,_xlpm.rad),IFERROR(IF(AND(_xlpm.typ="H",_xlpm.kod&lt;&gt;""),UPPER(_xlpm.kod),GT$18),GT$18))</f>
        <v>29</v>
      </c>
      <c r="GU168" s="88" cm="1">
        <f t="array" ref="GU168">_xlfn.LET(_xlpm.rad,$FO168+1,_xlpm.typ,INDEX($E$20:$E$68,_xlpm.rad),_xlpm.kod,INDEX(AM$19:AM$68,_xlpm.rad),IFERROR(IF(AND(_xlpm.typ="H",_xlpm.kod&lt;&gt;""),UPPER(_xlpm.kod),GU$18),GU$18))</f>
        <v>30</v>
      </c>
    </row>
    <row r="169" spans="143:203" x14ac:dyDescent="0.35">
      <c r="FR169" s="88" cm="1">
        <f t="array" ref="FR169">_xlfn.LET(_xlpm.rad,$FO168+1,_xlpm.typ,INDEX($E$20:$E$68,_xlpm.rad),_xlpm.kod,INDEX(J$19:J$68,_xlpm.rad),_xlpm.del,INDEX($F$19:$F$68,_xlpm.rad),IFERROR(IF(AND(_xlpm.typ="H",_xlpm.kod&lt;&gt;"",_xlpm.del&lt;&gt;"Hybrid - Thrust + 2 connections"),INDEX(Hyb_Tech,MATCH(_xlpm.kod,Hyb_Code,0)),FR$72),FR$72))</f>
        <v>1</v>
      </c>
      <c r="FS169" s="88" cm="1">
        <f t="array" ref="FS169">_xlfn.LET(_xlpm.rad,$FO168+1,_xlpm.typ,INDEX($E$20:$E$68,_xlpm.rad),_xlpm.kod,INDEX(K$19:K$68,_xlpm.rad),_xlpm.del,INDEX($F$19:$F$68,_xlpm.rad),IFERROR(IF(AND(_xlpm.typ="H",_xlpm.kod&lt;&gt;"",_xlpm.del&lt;&gt;"Hybrid - Thrust + 2 connections"),INDEX(Hyb_Tech,MATCH(_xlpm.kod,Hyb_Code,0)),FS$72),FS$72))</f>
        <v>2</v>
      </c>
      <c r="FT169" s="88" cm="1">
        <f t="array" ref="FT169">_xlfn.LET(_xlpm.rad,$FO168+1,_xlpm.typ,INDEX($E$20:$E$68,_xlpm.rad),_xlpm.kod,INDEX(L$19:L$68,_xlpm.rad),_xlpm.del,INDEX($F$19:$F$68,_xlpm.rad),IFERROR(IF(AND(_xlpm.typ="H",_xlpm.kod&lt;&gt;"",_xlpm.del&lt;&gt;"Hybrid - Thrust + 2 connections"),INDEX(Hyb_Tech,MATCH(_xlpm.kod,Hyb_Code,0)),FT$72),FT$72))</f>
        <v>3</v>
      </c>
      <c r="FU169" s="88" cm="1">
        <f t="array" ref="FU169">_xlfn.LET(_xlpm.rad,$FO168+1,_xlpm.typ,INDEX($E$20:$E$68,_xlpm.rad),_xlpm.kod,INDEX(M$19:M$68,_xlpm.rad),_xlpm.del,INDEX($F$19:$F$68,_xlpm.rad),IFERROR(IF(AND(_xlpm.typ="H",_xlpm.kod&lt;&gt;"",_xlpm.del&lt;&gt;"Hybrid - Thrust + 2 connections"),INDEX(Hyb_Tech,MATCH(_xlpm.kod,Hyb_Code,0)),FU$72),FU$72))</f>
        <v>4</v>
      </c>
      <c r="FV169" s="88" cm="1">
        <f t="array" ref="FV169">_xlfn.LET(_xlpm.rad,$FO168+1,_xlpm.typ,INDEX($E$20:$E$68,_xlpm.rad),_xlpm.kod,INDEX(N$19:N$68,_xlpm.rad),_xlpm.del,INDEX($F$19:$F$68,_xlpm.rad),IFERROR(IF(AND(_xlpm.typ="H",_xlpm.kod&lt;&gt;"",_xlpm.del&lt;&gt;"Hybrid - Thrust + 2 connections"),INDEX(Hyb_Tech,MATCH(_xlpm.kod,Hyb_Code,0)),FV$72),FV$72))</f>
        <v>5</v>
      </c>
      <c r="FW169" s="88" cm="1">
        <f t="array" ref="FW169">_xlfn.LET(_xlpm.rad,$FO168+1,_xlpm.typ,INDEX($E$20:$E$68,_xlpm.rad),_xlpm.kod,INDEX(O$19:O$68,_xlpm.rad),_xlpm.del,INDEX($F$19:$F$68,_xlpm.rad),IFERROR(IF(AND(_xlpm.typ="H",_xlpm.kod&lt;&gt;"",_xlpm.del&lt;&gt;"Hybrid - Thrust + 2 connections"),INDEX(Hyb_Tech,MATCH(_xlpm.kod,Hyb_Code,0)),FW$72),FW$72))</f>
        <v>6</v>
      </c>
      <c r="FX169" s="88" cm="1">
        <f t="array" ref="FX169">_xlfn.LET(_xlpm.rad,$FO168+1,_xlpm.typ,INDEX($E$20:$E$68,_xlpm.rad),_xlpm.kod,INDEX(P$19:P$68,_xlpm.rad),_xlpm.del,INDEX($F$19:$F$68,_xlpm.rad),IFERROR(IF(AND(_xlpm.typ="H",_xlpm.kod&lt;&gt;"",_xlpm.del&lt;&gt;"Hybrid - Thrust + 2 connections"),INDEX(Hyb_Tech,MATCH(_xlpm.kod,Hyb_Code,0)),FX$72),FX$72))</f>
        <v>7</v>
      </c>
      <c r="FY169" s="88" cm="1">
        <f t="array" ref="FY169">_xlfn.LET(_xlpm.rad,$FO168+1,_xlpm.typ,INDEX($E$20:$E$68,_xlpm.rad),_xlpm.kod,INDEX(Q$19:Q$68,_xlpm.rad),_xlpm.del,INDEX($F$19:$F$68,_xlpm.rad),IFERROR(IF(AND(_xlpm.typ="H",_xlpm.kod&lt;&gt;"",_xlpm.del&lt;&gt;"Hybrid - Thrust + 2 connections"),INDEX(Hyb_Tech,MATCH(_xlpm.kod,Hyb_Code,0)),FY$72),FY$72))</f>
        <v>8</v>
      </c>
      <c r="FZ169" s="88" cm="1">
        <f t="array" ref="FZ169">_xlfn.LET(_xlpm.rad,$FO168+1,_xlpm.typ,INDEX($E$20:$E$68,_xlpm.rad),_xlpm.kod,INDEX(R$19:R$68,_xlpm.rad),_xlpm.del,INDEX($F$19:$F$68,_xlpm.rad),IFERROR(IF(AND(_xlpm.typ="H",_xlpm.kod&lt;&gt;"",_xlpm.del&lt;&gt;"Hybrid - Thrust + 2 connections"),INDEX(Hyb_Tech,MATCH(_xlpm.kod,Hyb_Code,0)),FZ$72),FZ$72))</f>
        <v>9</v>
      </c>
      <c r="GA169" s="88" cm="1">
        <f t="array" ref="GA169">_xlfn.LET(_xlpm.rad,$FO168+1,_xlpm.typ,INDEX($E$20:$E$68,_xlpm.rad),_xlpm.kod,INDEX(S$19:S$68,_xlpm.rad),_xlpm.del,INDEX($F$19:$F$68,_xlpm.rad),IFERROR(IF(AND(_xlpm.typ="H",_xlpm.kod&lt;&gt;"",_xlpm.del&lt;&gt;"Hybrid - Thrust + 2 connections"),INDEX(Hyb_Tech,MATCH(_xlpm.kod,Hyb_Code,0)),GA$72),GA$72))</f>
        <v>10</v>
      </c>
      <c r="GB169" s="88" cm="1">
        <f t="array" ref="GB169">_xlfn.LET(_xlpm.rad,$FO168+1,_xlpm.typ,INDEX($E$20:$E$68,_xlpm.rad),_xlpm.kod,INDEX(T$19:T$68,_xlpm.rad),_xlpm.del,INDEX($F$19:$F$68,_xlpm.rad),IFERROR(IF(AND(_xlpm.typ="H",_xlpm.kod&lt;&gt;"",_xlpm.del&lt;&gt;"Hybrid - Thrust + 2 connections"),INDEX(Hyb_Tech,MATCH(_xlpm.kod,Hyb_Code,0)),GB$72),GB$72))</f>
        <v>11</v>
      </c>
      <c r="GC169" s="88" cm="1">
        <f t="array" ref="GC169">_xlfn.LET(_xlpm.rad,$FO168+1,_xlpm.typ,INDEX($E$20:$E$68,_xlpm.rad),_xlpm.kod,INDEX(U$19:U$68,_xlpm.rad),_xlpm.del,INDEX($F$19:$F$68,_xlpm.rad),IFERROR(IF(AND(_xlpm.typ="H",_xlpm.kod&lt;&gt;"",_xlpm.del&lt;&gt;"Hybrid - Thrust + 2 connections"),INDEX(Hyb_Tech,MATCH(_xlpm.kod,Hyb_Code,0)),GC$72),GC$72))</f>
        <v>12</v>
      </c>
      <c r="GD169" s="88" cm="1">
        <f t="array" ref="GD169">_xlfn.LET(_xlpm.rad,$FO168+1,_xlpm.typ,INDEX($E$20:$E$68,_xlpm.rad),_xlpm.kod,INDEX(V$19:V$68,_xlpm.rad),_xlpm.del,INDEX($F$19:$F$68,_xlpm.rad),IFERROR(IF(AND(_xlpm.typ="H",_xlpm.kod&lt;&gt;"",_xlpm.del&lt;&gt;"Hybrid - Thrust + 2 connections"),INDEX(Hyb_Tech,MATCH(_xlpm.kod,Hyb_Code,0)),GD$72),GD$72))</f>
        <v>13</v>
      </c>
      <c r="GE169" s="88" cm="1">
        <f t="array" ref="GE169">_xlfn.LET(_xlpm.rad,$FO168+1,_xlpm.typ,INDEX($E$20:$E$68,_xlpm.rad),_xlpm.kod,INDEX(W$19:W$68,_xlpm.rad),_xlpm.del,INDEX($F$19:$F$68,_xlpm.rad),IFERROR(IF(AND(_xlpm.typ="H",_xlpm.kod&lt;&gt;"",_xlpm.del&lt;&gt;"Hybrid - Thrust + 2 connections"),INDEX(Hyb_Tech,MATCH(_xlpm.kod,Hyb_Code,0)),GE$72),GE$72))</f>
        <v>14</v>
      </c>
      <c r="GF169" s="88" cm="1">
        <f t="array" ref="GF169">_xlfn.LET(_xlpm.rad,$FO168+1,_xlpm.typ,INDEX($E$20:$E$68,_xlpm.rad),_xlpm.kod,INDEX(X$19:X$68,_xlpm.rad),_xlpm.del,INDEX($F$19:$F$68,_xlpm.rad),IFERROR(IF(AND(_xlpm.typ="H",_xlpm.kod&lt;&gt;"",_xlpm.del&lt;&gt;"Hybrid - Thrust + 2 connections"),INDEX(Hyb_Tech,MATCH(_xlpm.kod,Hyb_Code,0)),GF$72),GF$72))</f>
        <v>15</v>
      </c>
      <c r="GG169" s="88" cm="1">
        <f t="array" ref="GG169">_xlfn.LET(_xlpm.rad,$FO168+1,_xlpm.typ,INDEX($E$20:$E$68,_xlpm.rad),_xlpm.kod,INDEX(Y$19:Y$68,_xlpm.rad),_xlpm.del,INDEX($F$19:$F$68,_xlpm.rad),IFERROR(IF(AND(_xlpm.typ="H",_xlpm.kod&lt;&gt;"",_xlpm.del&lt;&gt;"Hybrid - Thrust + 2 connections"),INDEX(Hyb_Tech,MATCH(_xlpm.kod,Hyb_Code,0)),GG$72),GG$72))</f>
        <v>16</v>
      </c>
      <c r="GH169" s="88" cm="1">
        <f t="array" ref="GH169">_xlfn.LET(_xlpm.rad,$FO168+1,_xlpm.typ,INDEX($E$20:$E$68,_xlpm.rad),_xlpm.kod,INDEX(Z$19:Z$68,_xlpm.rad),_xlpm.del,INDEX($F$19:$F$68,_xlpm.rad),IFERROR(IF(AND(_xlpm.typ="H",_xlpm.kod&lt;&gt;"",_xlpm.del&lt;&gt;"Hybrid - Thrust + 2 connections"),INDEX(Hyb_Tech,MATCH(_xlpm.kod,Hyb_Code,0)),GH$72),GH$72))</f>
        <v>17</v>
      </c>
      <c r="GI169" s="88" cm="1">
        <f t="array" ref="GI169">_xlfn.LET(_xlpm.rad,$FO168+1,_xlpm.typ,INDEX($E$20:$E$68,_xlpm.rad),_xlpm.kod,INDEX(AA$19:AA$68,_xlpm.rad),_xlpm.del,INDEX($F$19:$F$68,_xlpm.rad),IFERROR(IF(AND(_xlpm.typ="H",_xlpm.kod&lt;&gt;"",_xlpm.del&lt;&gt;"Hybrid - Thrust + 2 connections"),INDEX(Hyb_Tech,MATCH(_xlpm.kod,Hyb_Code,0)),GI$72),GI$72))</f>
        <v>18</v>
      </c>
      <c r="GJ169" s="88" cm="1">
        <f t="array" ref="GJ169">_xlfn.LET(_xlpm.rad,$FO168+1,_xlpm.typ,INDEX($E$20:$E$68,_xlpm.rad),_xlpm.kod,INDEX(AB$19:AB$68,_xlpm.rad),_xlpm.del,INDEX($F$19:$F$68,_xlpm.rad),IFERROR(IF(AND(_xlpm.typ="H",_xlpm.kod&lt;&gt;"",_xlpm.del&lt;&gt;"Hybrid - Thrust + 2 connections"),INDEX(Hyb_Tech,MATCH(_xlpm.kod,Hyb_Code,0)),GJ$72),GJ$72))</f>
        <v>19</v>
      </c>
      <c r="GK169" s="88" cm="1">
        <f t="array" ref="GK169">_xlfn.LET(_xlpm.rad,$FO168+1,_xlpm.typ,INDEX($E$20:$E$68,_xlpm.rad),_xlpm.kod,INDEX(AC$19:AC$68,_xlpm.rad),_xlpm.del,INDEX($F$19:$F$68,_xlpm.rad),IFERROR(IF(AND(_xlpm.typ="H",_xlpm.kod&lt;&gt;"",_xlpm.del&lt;&gt;"Hybrid - Thrust + 2 connections"),INDEX(Hyb_Tech,MATCH(_xlpm.kod,Hyb_Code,0)),GK$72),GK$72))</f>
        <v>20</v>
      </c>
      <c r="GL169" s="88" cm="1">
        <f t="array" ref="GL169">_xlfn.LET(_xlpm.rad,$FO168+1,_xlpm.typ,INDEX($E$20:$E$68,_xlpm.rad),_xlpm.kod,INDEX(AD$19:AD$68,_xlpm.rad),_xlpm.del,INDEX($F$19:$F$68,_xlpm.rad),IFERROR(IF(AND(_xlpm.typ="H",_xlpm.kod&lt;&gt;"",_xlpm.del&lt;&gt;"Hybrid - Thrust + 2 connections"),INDEX(Hyb_Tech,MATCH(_xlpm.kod,Hyb_Code,0)),GL$72),GL$72))</f>
        <v>21</v>
      </c>
      <c r="GM169" s="88" cm="1">
        <f t="array" ref="GM169">_xlfn.LET(_xlpm.rad,$FO168+1,_xlpm.typ,INDEX($E$20:$E$68,_xlpm.rad),_xlpm.kod,INDEX(AE$19:AE$68,_xlpm.rad),_xlpm.del,INDEX($F$19:$F$68,_xlpm.rad),IFERROR(IF(AND(_xlpm.typ="H",_xlpm.kod&lt;&gt;"",_xlpm.del&lt;&gt;"Hybrid - Thrust + 2 connections"),INDEX(Hyb_Tech,MATCH(_xlpm.kod,Hyb_Code,0)),GM$72),GM$72))</f>
        <v>22</v>
      </c>
      <c r="GN169" s="88" cm="1">
        <f t="array" ref="GN169">_xlfn.LET(_xlpm.rad,$FO168+1,_xlpm.typ,INDEX($E$20:$E$68,_xlpm.rad),_xlpm.kod,INDEX(AF$19:AF$68,_xlpm.rad),_xlpm.del,INDEX($F$19:$F$68,_xlpm.rad),IFERROR(IF(AND(_xlpm.typ="H",_xlpm.kod&lt;&gt;"",_xlpm.del&lt;&gt;"Hybrid - Thrust + 2 connections"),INDEX(Hyb_Tech,MATCH(_xlpm.kod,Hyb_Code,0)),GN$72),GN$72))</f>
        <v>23</v>
      </c>
      <c r="GO169" s="88" cm="1">
        <f t="array" ref="GO169">_xlfn.LET(_xlpm.rad,$FO168+1,_xlpm.typ,INDEX($E$20:$E$68,_xlpm.rad),_xlpm.kod,INDEX(AG$19:AG$68,_xlpm.rad),_xlpm.del,INDEX($F$19:$F$68,_xlpm.rad),IFERROR(IF(AND(_xlpm.typ="H",_xlpm.kod&lt;&gt;"",_xlpm.del&lt;&gt;"Hybrid - Thrust + 2 connections"),INDEX(Hyb_Tech,MATCH(_xlpm.kod,Hyb_Code,0)),GO$72),GO$72))</f>
        <v>24</v>
      </c>
      <c r="GP169" s="88" cm="1">
        <f t="array" ref="GP169">_xlfn.LET(_xlpm.rad,$FO168+1,_xlpm.typ,INDEX($E$20:$E$68,_xlpm.rad),_xlpm.kod,INDEX(AH$19:AH$68,_xlpm.rad),_xlpm.del,INDEX($F$19:$F$68,_xlpm.rad),IFERROR(IF(AND(_xlpm.typ="H",_xlpm.kod&lt;&gt;"",_xlpm.del&lt;&gt;"Hybrid - Thrust + 2 connections"),INDEX(Hyb_Tech,MATCH(_xlpm.kod,Hyb_Code,0)),GP$72),GP$72))</f>
        <v>25</v>
      </c>
      <c r="GQ169" s="88" cm="1">
        <f t="array" ref="GQ169">_xlfn.LET(_xlpm.rad,$FO168+1,_xlpm.typ,INDEX($E$20:$E$68,_xlpm.rad),_xlpm.kod,INDEX(AI$19:AI$68,_xlpm.rad),_xlpm.del,INDEX($F$19:$F$68,_xlpm.rad),IFERROR(IF(AND(_xlpm.typ="H",_xlpm.kod&lt;&gt;"",_xlpm.del&lt;&gt;"Hybrid - Thrust + 2 connections"),INDEX(Hyb_Tech,MATCH(_xlpm.kod,Hyb_Code,0)),GQ$72),GQ$72))</f>
        <v>26</v>
      </c>
      <c r="GR169" s="88" cm="1">
        <f t="array" ref="GR169">_xlfn.LET(_xlpm.rad,$FO168+1,_xlpm.typ,INDEX($E$20:$E$68,_xlpm.rad),_xlpm.kod,INDEX(AJ$19:AJ$68,_xlpm.rad),_xlpm.del,INDEX($F$19:$F$68,_xlpm.rad),IFERROR(IF(AND(_xlpm.typ="H",_xlpm.kod&lt;&gt;"",_xlpm.del&lt;&gt;"Hybrid - Thrust + 2 connections"),INDEX(Hyb_Tech,MATCH(_xlpm.kod,Hyb_Code,0)),GR$72),GR$72))</f>
        <v>27</v>
      </c>
      <c r="GS169" s="88" cm="1">
        <f t="array" ref="GS169">_xlfn.LET(_xlpm.rad,$FO168+1,_xlpm.typ,INDEX($E$20:$E$68,_xlpm.rad),_xlpm.kod,INDEX(AK$19:AK$68,_xlpm.rad),_xlpm.del,INDEX($F$19:$F$68,_xlpm.rad),IFERROR(IF(AND(_xlpm.typ="H",_xlpm.kod&lt;&gt;"",_xlpm.del&lt;&gt;"Hybrid - Thrust + 2 connections"),INDEX(Hyb_Tech,MATCH(_xlpm.kod,Hyb_Code,0)),GS$72),GS$72))</f>
        <v>28</v>
      </c>
      <c r="GT169" s="88" cm="1">
        <f t="array" ref="GT169">_xlfn.LET(_xlpm.rad,$FO168+1,_xlpm.typ,INDEX($E$20:$E$68,_xlpm.rad),_xlpm.kod,INDEX(AL$19:AL$68,_xlpm.rad),_xlpm.del,INDEX($F$19:$F$68,_xlpm.rad),IFERROR(IF(AND(_xlpm.typ="H",_xlpm.kod&lt;&gt;"",_xlpm.del&lt;&gt;"Hybrid - Thrust + 2 connections"),INDEX(Hyb_Tech,MATCH(_xlpm.kod,Hyb_Code,0)),GT$72),GT$72))</f>
        <v>29</v>
      </c>
      <c r="GU169" s="88" cm="1">
        <f t="array" ref="GU169">_xlfn.LET(_xlpm.rad,$FO168+1,_xlpm.typ,INDEX($E$20:$E$68,_xlpm.rad),_xlpm.kod,INDEX(AM$19:AM$68,_xlpm.rad),_xlpm.del,INDEX($F$19:$F$68,_xlpm.rad),IFERROR(IF(AND(_xlpm.typ="H",_xlpm.kod&lt;&gt;"",_xlpm.del&lt;&gt;"Hybrid - Thrust + 2 connections"),INDEX(Hyb_Tech,MATCH(_xlpm.kod,Hyb_Code,0)),GU$72),GU$72))</f>
        <v>30</v>
      </c>
    </row>
    <row r="170" spans="143:203" x14ac:dyDescent="0.35">
      <c r="FP170" s="91" t="str" cm="1">
        <f t="array" ref="FP170">IFERROR(IF($T$5="",IF(COUNTIF(FR170:GU170,1)&gt;$FP$18,INDEX($FR$73:$GU$170,$FO168*5/2+1,MATCH(1,FR170:GU170,0)),""),IF(SUM(FR170:GU170)&gt;2,INDEX($FR$73:$GU$170,$FO168*5/2+1,MATCH(1,FR170:GU170,0)),"")),"")</f>
        <v/>
      </c>
      <c r="FQ170" s="88" t="str" cm="1">
        <f t="array" ref="FQ170">IFERROR(IF(LEFT(FP170,1)="C",IF(RIGHT(FP170,1)="+",LEFT(FP170,LEN(FP170)-1),CONCATENATE(FP170,"+")),IF(SUM($FR170:$GU170)&gt;$FP$18,INDEX($FR$73:$GU$170,$FO168*5/2+1,MATCH(0.5,FR170:GU170,0)),"")),"")</f>
        <v/>
      </c>
      <c r="FR170" s="88" t="str">
        <f t="shared" ref="FR170:GU170" si="3413">IF(AND($BV$6="D",LEFT(FR168,1)="C"),IF(COUNTIF($FR169:$GU169,FR169)&gt;$FP$18,INDEX(Hyb_Tech_Value,MATCH(FR168,Hyb_Code,0)),""),IF(COUNTIF($FR169:$GU169,FR169)&gt;$FP$18,INDEX(Hyb_Tech_Value,MATCH(FR168,Hyb_Code,0)),""))</f>
        <v/>
      </c>
      <c r="FS170" s="88" t="str">
        <f t="shared" si="3413"/>
        <v/>
      </c>
      <c r="FT170" s="88" t="str">
        <f t="shared" si="3413"/>
        <v/>
      </c>
      <c r="FU170" s="88" t="str">
        <f t="shared" si="3413"/>
        <v/>
      </c>
      <c r="FV170" s="88" t="str">
        <f t="shared" si="3413"/>
        <v/>
      </c>
      <c r="FW170" s="88" t="str">
        <f t="shared" si="3413"/>
        <v/>
      </c>
      <c r="FX170" s="88" t="str">
        <f t="shared" si="3413"/>
        <v/>
      </c>
      <c r="FY170" s="88" t="str">
        <f t="shared" si="3413"/>
        <v/>
      </c>
      <c r="FZ170" s="88" t="str">
        <f t="shared" si="3413"/>
        <v/>
      </c>
      <c r="GA170" s="88" t="str">
        <f t="shared" si="3413"/>
        <v/>
      </c>
      <c r="GB170" s="88" t="str">
        <f t="shared" si="3413"/>
        <v/>
      </c>
      <c r="GC170" s="88" t="str">
        <f t="shared" si="3413"/>
        <v/>
      </c>
      <c r="GD170" s="88" t="str">
        <f t="shared" si="3413"/>
        <v/>
      </c>
      <c r="GE170" s="88" t="str">
        <f t="shared" si="3413"/>
        <v/>
      </c>
      <c r="GF170" s="88" t="str">
        <f t="shared" si="3413"/>
        <v/>
      </c>
      <c r="GG170" s="88" t="str">
        <f t="shared" si="3413"/>
        <v/>
      </c>
      <c r="GH170" s="88" t="str">
        <f t="shared" si="3413"/>
        <v/>
      </c>
      <c r="GI170" s="88" t="str">
        <f t="shared" si="3413"/>
        <v/>
      </c>
      <c r="GJ170" s="88" t="str">
        <f t="shared" si="3413"/>
        <v/>
      </c>
      <c r="GK170" s="88" t="str">
        <f t="shared" si="3413"/>
        <v/>
      </c>
      <c r="GL170" s="88" t="str">
        <f t="shared" si="3413"/>
        <v/>
      </c>
      <c r="GM170" s="88" t="str">
        <f t="shared" si="3413"/>
        <v/>
      </c>
      <c r="GN170" s="88" t="str">
        <f t="shared" si="3413"/>
        <v/>
      </c>
      <c r="GO170" s="88" t="str">
        <f t="shared" si="3413"/>
        <v/>
      </c>
      <c r="GP170" s="88" t="str">
        <f t="shared" si="3413"/>
        <v/>
      </c>
      <c r="GQ170" s="88" t="str">
        <f t="shared" si="3413"/>
        <v/>
      </c>
      <c r="GR170" s="88" t="str">
        <f t="shared" si="3413"/>
        <v/>
      </c>
      <c r="GS170" s="88" t="str">
        <f t="shared" si="3413"/>
        <v/>
      </c>
      <c r="GT170" s="88" t="str">
        <f t="shared" si="3413"/>
        <v/>
      </c>
      <c r="GU170" s="88" t="str">
        <f t="shared" si="3413"/>
        <v/>
      </c>
    </row>
    <row r="171" spans="143:203" x14ac:dyDescent="0.35">
      <c r="FQ171" s="88"/>
      <c r="FR171" s="88" t="str">
        <f t="shared" ref="FR171:GU171" si="3414">IFERROR(IF(LEFT(FR168,FIND("*",FR168)-1)=LEFT($FQ$73,FIND("*",$FQ$73)-1),0.5,""),"")</f>
        <v/>
      </c>
      <c r="FS171" s="88" t="str">
        <f t="shared" si="3414"/>
        <v/>
      </c>
      <c r="FT171" s="88" t="str">
        <f t="shared" si="3414"/>
        <v/>
      </c>
      <c r="FU171" s="88" t="str">
        <f t="shared" si="3414"/>
        <v/>
      </c>
      <c r="FV171" s="88" t="str">
        <f t="shared" si="3414"/>
        <v/>
      </c>
      <c r="FW171" s="88" t="str">
        <f t="shared" si="3414"/>
        <v/>
      </c>
      <c r="FX171" s="88" t="str">
        <f t="shared" si="3414"/>
        <v/>
      </c>
      <c r="FY171" s="88" t="str">
        <f t="shared" si="3414"/>
        <v/>
      </c>
      <c r="FZ171" s="88" t="str">
        <f t="shared" si="3414"/>
        <v/>
      </c>
      <c r="GA171" s="88" t="str">
        <f t="shared" si="3414"/>
        <v/>
      </c>
      <c r="GB171" s="88" t="str">
        <f t="shared" si="3414"/>
        <v/>
      </c>
      <c r="GC171" s="88" t="str">
        <f t="shared" si="3414"/>
        <v/>
      </c>
      <c r="GD171" s="88" t="str">
        <f t="shared" si="3414"/>
        <v/>
      </c>
      <c r="GE171" s="88" t="str">
        <f t="shared" si="3414"/>
        <v/>
      </c>
      <c r="GF171" s="88" t="str">
        <f t="shared" si="3414"/>
        <v/>
      </c>
      <c r="GG171" s="88" t="str">
        <f t="shared" si="3414"/>
        <v/>
      </c>
      <c r="GH171" s="88" t="str">
        <f t="shared" si="3414"/>
        <v/>
      </c>
      <c r="GI171" s="88" t="str">
        <f t="shared" si="3414"/>
        <v/>
      </c>
      <c r="GJ171" s="88" t="str">
        <f t="shared" si="3414"/>
        <v/>
      </c>
      <c r="GK171" s="88" t="str">
        <f t="shared" si="3414"/>
        <v/>
      </c>
      <c r="GL171" s="88" t="str">
        <f t="shared" si="3414"/>
        <v/>
      </c>
      <c r="GM171" s="88" t="str">
        <f t="shared" si="3414"/>
        <v/>
      </c>
      <c r="GN171" s="88" t="str">
        <f t="shared" si="3414"/>
        <v/>
      </c>
      <c r="GO171" s="88" t="str">
        <f t="shared" si="3414"/>
        <v/>
      </c>
      <c r="GP171" s="88" t="str">
        <f t="shared" si="3414"/>
        <v/>
      </c>
      <c r="GQ171" s="88" t="str">
        <f t="shared" si="3414"/>
        <v/>
      </c>
      <c r="GR171" s="88" t="str">
        <f t="shared" si="3414"/>
        <v/>
      </c>
      <c r="GS171" s="88" t="str">
        <f t="shared" si="3414"/>
        <v/>
      </c>
      <c r="GT171" s="88" t="str">
        <f t="shared" si="3414"/>
        <v/>
      </c>
      <c r="GU171" s="88" t="str">
        <f t="shared" si="3414"/>
        <v/>
      </c>
    </row>
    <row r="172" spans="143:203" x14ac:dyDescent="0.35">
      <c r="FQ172" s="88"/>
      <c r="FR172" s="88"/>
      <c r="FS172" s="88"/>
      <c r="FT172" s="88"/>
      <c r="FU172" s="88"/>
      <c r="FV172" s="88"/>
      <c r="FW172" s="88"/>
      <c r="FX172" s="88"/>
      <c r="FY172" s="88"/>
      <c r="FZ172" s="88"/>
      <c r="GA172" s="88"/>
      <c r="GB172" s="88"/>
      <c r="GC172" s="88"/>
      <c r="GD172" s="88"/>
      <c r="GE172" s="88"/>
      <c r="GF172" s="88"/>
      <c r="GG172" s="88"/>
      <c r="GH172" s="88"/>
      <c r="GI172" s="88"/>
      <c r="GJ172" s="88"/>
      <c r="GK172" s="88"/>
      <c r="GL172" s="88"/>
      <c r="GM172" s="88"/>
      <c r="GN172" s="88"/>
      <c r="GO172" s="88"/>
      <c r="GP172" s="88"/>
      <c r="GQ172" s="88"/>
      <c r="GR172" s="88"/>
      <c r="GS172" s="88"/>
      <c r="GT172" s="88"/>
      <c r="GU172" s="88"/>
    </row>
    <row r="173" spans="143:203" x14ac:dyDescent="0.35">
      <c r="FO173" s="103"/>
      <c r="FP173" s="156"/>
      <c r="FQ173" s="103"/>
      <c r="FR173" s="103"/>
      <c r="FS173" s="103"/>
      <c r="FT173" s="103"/>
      <c r="FU173" s="103"/>
      <c r="FV173" s="103"/>
      <c r="FW173" s="103"/>
      <c r="FX173" s="103"/>
      <c r="FY173" s="103"/>
      <c r="FZ173" s="103"/>
      <c r="GA173" s="103"/>
      <c r="GB173" s="103"/>
      <c r="GC173" s="103"/>
      <c r="GD173" s="103"/>
      <c r="GE173" s="103"/>
      <c r="GF173" s="103"/>
      <c r="GG173" s="103"/>
      <c r="GH173" s="103"/>
      <c r="GI173" s="103"/>
      <c r="GJ173" s="103"/>
      <c r="GK173" s="103"/>
      <c r="GL173" s="103"/>
      <c r="GM173" s="103"/>
      <c r="GN173" s="103"/>
      <c r="GO173" s="103"/>
      <c r="GP173" s="103"/>
      <c r="GQ173" s="103"/>
      <c r="GR173" s="103"/>
      <c r="GS173" s="103"/>
      <c r="GT173" s="103"/>
      <c r="GU173" s="103"/>
    </row>
  </sheetData>
  <sheetProtection algorithmName="SHA-512" hashValue="LTPdFX/qhdfEWjcJNKDdgqgcLC52BF6ada1xTNXKQiOw+jpE5QgSLWDWmjoTDzbPmd6yjNxrge6vX9f0hUZklA==" saltValue="v/nBQMWPa7JANSU8a7UH6Q==" spinCount="100000" sheet="1" formatColumns="0" deleteColumns="0" selectLockedCells="1"/>
  <mergeCells count="38">
    <mergeCell ref="G1:AM4"/>
    <mergeCell ref="A17:B17"/>
    <mergeCell ref="A7:D7"/>
    <mergeCell ref="C17:D17"/>
    <mergeCell ref="A9:D9"/>
    <mergeCell ref="A5:D5"/>
    <mergeCell ref="A6:D6"/>
    <mergeCell ref="A8:D8"/>
    <mergeCell ref="N6:AC6"/>
    <mergeCell ref="F6:L6"/>
    <mergeCell ref="F5:I5"/>
    <mergeCell ref="A10:B11"/>
    <mergeCell ref="C10:D11"/>
    <mergeCell ref="Y5:AO5"/>
    <mergeCell ref="BU9:BW9"/>
    <mergeCell ref="AN16:AN17"/>
    <mergeCell ref="H16:I17"/>
    <mergeCell ref="GW16:HB16"/>
    <mergeCell ref="CU17:DC17"/>
    <mergeCell ref="DD17:DJ17"/>
    <mergeCell ref="DK17:DM17"/>
    <mergeCell ref="DQ11:DT11"/>
    <mergeCell ref="EF17:EG17"/>
    <mergeCell ref="Y11:AB11"/>
    <mergeCell ref="F9:AO9"/>
    <mergeCell ref="BI17:CL17"/>
    <mergeCell ref="EB17:EE17"/>
    <mergeCell ref="DQ16:EE16"/>
    <mergeCell ref="AW16:BA16"/>
    <mergeCell ref="FR19:GU58"/>
    <mergeCell ref="BX2:BY2"/>
    <mergeCell ref="DQ17:DR17"/>
    <mergeCell ref="DS17:DT17"/>
    <mergeCell ref="DV17:DY17"/>
    <mergeCell ref="DG11:DO11"/>
    <mergeCell ref="CA2:CN2"/>
    <mergeCell ref="DZ17:EA17"/>
    <mergeCell ref="DV11:DW11"/>
  </mergeCells>
  <phoneticPr fontId="9" type="noConversion"/>
  <conditionalFormatting sqref="A10 C10 A6:C6 A7 A8:C9 A13:B14 BW14 CQ15 A15:C16">
    <cfRule type="containsText" dxfId="206" priority="628" operator="containsText" text=" ">
      <formula>NOT(ISERROR(SEARCH(" ",A6)))</formula>
    </cfRule>
  </conditionalFormatting>
  <conditionalFormatting sqref="A6:C6 A7 A8:C9 A10 C10 A13:B14 BW14 CQ15 A15:C16">
    <cfRule type="containsText" dxfId="205" priority="630" operator="containsText" text="TRANSITION">
      <formula>NOT(ISERROR(SEARCH("TRANSITION",A6)))</formula>
    </cfRule>
    <cfRule type="containsText" dxfId="204" priority="632" operator="containsText" text="HYBRID">
      <formula>NOT(ISERROR(SEARCH("HYBRID",A6)))</formula>
    </cfRule>
    <cfRule type="containsText" dxfId="203" priority="631" operator="containsText" text="ACROBATIC">
      <formula>NOT(ISERROR(SEARCH("ACROBATIC",A6)))</formula>
    </cfRule>
    <cfRule type="containsText" dxfId="202" priority="629" operator="containsText" text="BONUSES">
      <formula>NOT(ISERROR(SEARCH("BONUSES",A6)))</formula>
    </cfRule>
  </conditionalFormatting>
  <conditionalFormatting sqref="A10:D11">
    <cfRule type="expression" dxfId="201" priority="147">
      <formula>$AX$17=0</formula>
    </cfRule>
  </conditionalFormatting>
  <conditionalFormatting sqref="A12:D12">
    <cfRule type="containsText" dxfId="200" priority="588" operator="containsText" text="ACROBATIC">
      <formula>NOT(ISERROR(SEARCH("ACROBATIC",A12)))</formula>
    </cfRule>
    <cfRule type="containsText" dxfId="199" priority="587" operator="containsText" text="TRANSITION">
      <formula>NOT(ISERROR(SEARCH("TRANSITION",A12)))</formula>
    </cfRule>
    <cfRule type="containsText" dxfId="198" priority="586" operator="containsText" text="BONUSES">
      <formula>NOT(ISERROR(SEARCH("BONUSES",A12)))</formula>
    </cfRule>
    <cfRule type="containsText" dxfId="197" priority="585" operator="containsText" text=" ">
      <formula>NOT(ISERROR(SEARCH(" ",A12)))</formula>
    </cfRule>
    <cfRule type="containsText" dxfId="196" priority="589" operator="containsText" text="HYBRID">
      <formula>NOT(ISERROR(SEARCH("HYBRID",A12)))</formula>
    </cfRule>
  </conditionalFormatting>
  <conditionalFormatting sqref="C19 C21 C23 C25 C27 C29 C31 C33 C35 C37 C39 C41 C43 C45 C47 C49 C51 C53 C55 C57 C59 C61 C63 C65 C67 C69">
    <cfRule type="cellIs" dxfId="195" priority="583" operator="lessThan">
      <formula>0</formula>
    </cfRule>
  </conditionalFormatting>
  <conditionalFormatting sqref="C21 C23 C25 C27 C29 C31 C33 C35 C37 C39 C41 C43 C45 C47 C49 C51 C53 C55 C57 C59 C61 C63 C65 C67">
    <cfRule type="expression" dxfId="194" priority="601">
      <formula>AND(B21&lt;&gt;"",E19="",C21="")</formula>
    </cfRule>
  </conditionalFormatting>
  <conditionalFormatting sqref="C14:D14">
    <cfRule type="expression" dxfId="193" priority="578" stopIfTrue="1">
      <formula>AND($F$8&lt;&gt;"",$C$13="Y")</formula>
    </cfRule>
    <cfRule type="notContainsBlanks" dxfId="192" priority="584">
      <formula>LEN(TRIM(C14))&gt;0</formula>
    </cfRule>
  </conditionalFormatting>
  <conditionalFormatting sqref="C19:D19 C21:D21 C23:D23 C25:D25 C27:D27 C29:D29 C31:D31 C33:D33 C35:D35 C37:D37 C39:D39 C41:D41 C43:D43 C45:D45 C47:D47 C49:D49 C51:D51 C53:D53 C55:D55 C57:D57 C59:D59 C61:D61 C63:D63 C65:D65 C67:D67">
    <cfRule type="expression" dxfId="191" priority="172">
      <formula>OR($CQ19="X",$BA19="X")</formula>
    </cfRule>
  </conditionalFormatting>
  <conditionalFormatting sqref="C19:D68">
    <cfRule type="expression" dxfId="190" priority="11088">
      <formula>$CP19&lt;=$CO19</formula>
    </cfRule>
  </conditionalFormatting>
  <conditionalFormatting sqref="C21:D21 C23:D23 C25:D25 C27:D27 C29:D29 C31:D31 C33:D33 C35:D35 C37:D37 C39:D39 C41:D41 C43:D43 C45:D45 C47:D47 C49:D49 C51:D51 C53:D53 C55:D55 C57:D57 C59:D59 C61:D61 C63:D63 C65:D65 C67:D67">
    <cfRule type="expression" dxfId="189" priority="11089" stopIfTrue="1">
      <formula>$CO21=""</formula>
    </cfRule>
  </conditionalFormatting>
  <conditionalFormatting sqref="C69:D69 C19:D19 C21:D21 C23:D23 C25:D25 C27:D27 C29:D29 C31:D31 C33:D33 C35:D35 C37:D37 C39:D39 C41:D41 C43:D43 C45:D45 C47:D47 C49:D49 C51:D51 C53:D53 C55:D55 C57:D57 C59:D59 C61:D61 C63:D63 C65:D65 C67:D67">
    <cfRule type="expression" dxfId="188" priority="1835">
      <formula>AND(C19="",A19=0)</formula>
    </cfRule>
  </conditionalFormatting>
  <conditionalFormatting sqref="C69:D69 C71:D71">
    <cfRule type="expression" dxfId="187" priority="1447" stopIfTrue="1">
      <formula>$BT69=""</formula>
    </cfRule>
  </conditionalFormatting>
  <conditionalFormatting sqref="C69:D69">
    <cfRule type="expression" dxfId="186" priority="11032">
      <formula>AND(OR($BU69&gt;$D$12,AND($E70="H",$AB$14=1)),$Q$14="")</formula>
    </cfRule>
  </conditionalFormatting>
  <conditionalFormatting sqref="C69:D71">
    <cfRule type="expression" dxfId="185" priority="9058">
      <formula>$BU69&lt;=$BT69</formula>
    </cfRule>
  </conditionalFormatting>
  <conditionalFormatting sqref="C72:D72">
    <cfRule type="expression" dxfId="184" priority="1446">
      <formula>$BS72&lt;=$BR72</formula>
    </cfRule>
  </conditionalFormatting>
  <conditionalFormatting sqref="C73:D73">
    <cfRule type="expression" dxfId="183" priority="622">
      <formula>$AJ73&lt;=$AI73</formula>
    </cfRule>
    <cfRule type="expression" dxfId="182" priority="621" stopIfTrue="1">
      <formula>$AI73=""</formula>
    </cfRule>
  </conditionalFormatting>
  <conditionalFormatting sqref="C74:D77">
    <cfRule type="expression" dxfId="181" priority="1838">
      <formula>$AJ74&lt;=$AI74</formula>
    </cfRule>
  </conditionalFormatting>
  <conditionalFormatting sqref="C75:D75">
    <cfRule type="expression" dxfId="180" priority="1836" stopIfTrue="1">
      <formula>$AI75=""</formula>
    </cfRule>
  </conditionalFormatting>
  <conditionalFormatting sqref="D21 D23 D25 D27 D29 D31 D33 D35 D37 D39 D41 D43 D45 D47 D49 D51 D53 D55 D57 D59 D61 D63 D65 D67">
    <cfRule type="expression" dxfId="179" priority="600">
      <formula>AND(B21&lt;&gt;"",E19="",D21="")</formula>
    </cfRule>
  </conditionalFormatting>
  <conditionalFormatting sqref="F5 F9">
    <cfRule type="expression" dxfId="178" priority="177">
      <formula>AND(F5="",$F$19&lt;&gt;"")</formula>
    </cfRule>
  </conditionalFormatting>
  <conditionalFormatting sqref="F19 F21 F23 F25 F27 F29 F31 F33 F35 F37 F39 F41 F43 F45 F47 F49 F51 F53 F55 F57 F59 F61 F63 F65 F67 F69:F72">
    <cfRule type="containsText" dxfId="177" priority="14675" operator="containsText" text="Transition">
      <formula>NOT(ISERROR(SEARCH("Transition",F19)))</formula>
    </cfRule>
    <cfRule type="containsText" dxfId="176" priority="616" operator="containsText" text="Technical Required Element">
      <formula>NOT(ISERROR(SEARCH("Technical Required Element",F19)))</formula>
    </cfRule>
    <cfRule type="expression" dxfId="175" priority="615">
      <formula>AND(F19="",A19&lt;&gt;"")</formula>
    </cfRule>
    <cfRule type="containsText" dxfId="174" priority="617" operator="containsText" text="Hybrid">
      <formula>NOT(ISERROR(SEARCH("Hybrid",F19)))</formula>
    </cfRule>
    <cfRule type="containsText" dxfId="173" priority="618" operator="containsText" text="Acrobatic">
      <formula>NOT(ISERROR(SEARCH("Acrobatic",F19)))</formula>
    </cfRule>
  </conditionalFormatting>
  <conditionalFormatting sqref="F19 F21 F23 F25 F27 F29 F31 F33 F35 F37 F39 F41 F43 F45 F47 F49 F51 F53 F55 F57 F59 F61 F63 F65 F67">
    <cfRule type="expression" dxfId="172" priority="571" stopIfTrue="1">
      <formula>AND(F19&lt;&gt;"",OR(EG19="X",AND(F19=F17,F19&lt;&gt;"Transition - Surface Connection",LEFT(F17,9)&lt;&gt;"Acrobatic"),AND(F19=F21,F19&lt;&gt;"Transition - Surface Connection",LEFT(F21,9)&lt;&gt;"Acrobatic"),BG19="No"))</formula>
    </cfRule>
  </conditionalFormatting>
  <conditionalFormatting sqref="F69:F72 F19 F21 F23 F25 F27 F29 F31 F33 F35 F37 F39 F41 F43 F45 F47 F49 F51 F53 F55 F57 F59 F61 F63 F65 F67">
    <cfRule type="cellIs" dxfId="171" priority="579" operator="equal">
      <formula>"Connected Surface Movment"</formula>
    </cfRule>
  </conditionalFormatting>
  <conditionalFormatting sqref="F69:F72">
    <cfRule type="expression" dxfId="170" priority="577" stopIfTrue="1">
      <formula>AND(F69="Hybrid",F67="Hybrid")</formula>
    </cfRule>
  </conditionalFormatting>
  <conditionalFormatting sqref="G19:G58">
    <cfRule type="cellIs" dxfId="169" priority="171" operator="equal">
      <formula>0</formula>
    </cfRule>
  </conditionalFormatting>
  <conditionalFormatting sqref="G76">
    <cfRule type="expression" dxfId="168" priority="142">
      <formula>G76&lt;&gt;""</formula>
    </cfRule>
  </conditionalFormatting>
  <conditionalFormatting sqref="G81">
    <cfRule type="expression" dxfId="167" priority="116">
      <formula>G81&lt;&gt;""</formula>
    </cfRule>
  </conditionalFormatting>
  <conditionalFormatting sqref="G12:R13 J20:AN20 J22:AN22 J24:AN24 J26:AN26 J28:AN28 J30:AN30 J32:AN32 J34:AN34 J36:AN36 J38:AN38 J40:AN40 J42:AN42 J44:AN44 J46:AN46 J48:AN48 J50:AN50 J52:AN52 J54:AN54 J56:AN56 J58:AN58 J60:AN60 J62:AN62 J64:AN64 J66:AN66 J68:AN68">
    <cfRule type="cellIs" dxfId="166" priority="610" stopIfTrue="1" operator="equal">
      <formula>0</formula>
    </cfRule>
  </conditionalFormatting>
  <conditionalFormatting sqref="G19:AN19 G21:AN21 G23:AN23 G25:AN25 G27:AN27 G29:AN29 G31:AN31 G33:AN33 G35:AN35 G37:AN37 G39:AN39 G41:AN41 G43:AN43 G45:AN45 G47:AN47 G49:AN49 G51:AN51 G53:AN53 G55:AN55 G57:AN57 G59:AN59 G61:AN61 G63:AN63 G65:AN65 G67:AN67 G69:AC69">
    <cfRule type="expression" dxfId="165" priority="151">
      <formula>AND($F19&lt;&gt;"",$F21="")</formula>
    </cfRule>
  </conditionalFormatting>
  <conditionalFormatting sqref="H76">
    <cfRule type="expression" dxfId="164" priority="140">
      <formula>G76&lt;&gt;""</formula>
    </cfRule>
  </conditionalFormatting>
  <conditionalFormatting sqref="H81">
    <cfRule type="expression" dxfId="163" priority="8">
      <formula>G81&lt;&gt;""</formula>
    </cfRule>
  </conditionalFormatting>
  <conditionalFormatting sqref="H13:R13">
    <cfRule type="expression" dxfId="162" priority="569" stopIfTrue="1">
      <formula>H13&gt;H12</formula>
    </cfRule>
    <cfRule type="expression" dxfId="161" priority="609">
      <formula>H$13&lt;H$12</formula>
    </cfRule>
    <cfRule type="expression" dxfId="160" priority="611">
      <formula>AND(H$13&lt;&gt;"",H$13=H$12)</formula>
    </cfRule>
  </conditionalFormatting>
  <conditionalFormatting sqref="I76">
    <cfRule type="expression" dxfId="159" priority="138">
      <formula>G76&lt;&gt;""</formula>
    </cfRule>
  </conditionalFormatting>
  <conditionalFormatting sqref="I81">
    <cfRule type="expression" dxfId="158" priority="114">
      <formula>G81&lt;&gt;""</formula>
    </cfRule>
  </conditionalFormatting>
  <conditionalFormatting sqref="J13">
    <cfRule type="expression" dxfId="157" priority="566">
      <formula>$F$8="Acrobatic"</formula>
    </cfRule>
  </conditionalFormatting>
  <conditionalFormatting sqref="J19 J21 J23 J25 J27 J29 J31 J33 J35 J37 J39 J41 J43 J45 J47 J49 J51 J53 J55 J57 J59 J61 J63 J65 J67 J69">
    <cfRule type="expression" dxfId="156" priority="170" stopIfTrue="1">
      <formula>AND(LEFT(H20,4)&lt;&gt;"Acro",J19&lt;&gt;"",J20=0,H19&lt;&gt;"No DD")</formula>
    </cfRule>
  </conditionalFormatting>
  <conditionalFormatting sqref="J19 J21 J23 J25 J27 J29 J31 J33 J35 J37 J39 J41 J43 J45 J47 J49 J51 J53 J55 J57 J59 J61 J63 J65 J67">
    <cfRule type="expression" dxfId="154" priority="1946" stopIfTrue="1">
      <formula>AND(E20&lt;&gt;"",J19="")</formula>
    </cfRule>
    <cfRule type="expression" dxfId="153" priority="11382">
      <formula>OR(AND($J19&lt;&gt;"",$E20="B",$DI$12=$J19),AND($J19&lt;&gt;"",$E20="C",$DK$12=$J19),AND($J19&lt;&gt;"",$E20="P",$DL$12=$J19))</formula>
    </cfRule>
    <cfRule type="expression" dxfId="152" priority="14700">
      <formula>AND($E20="PA",$DN$15="YES",J19=$DO$15)</formula>
    </cfRule>
  </conditionalFormatting>
  <conditionalFormatting sqref="J19:J68">
    <cfRule type="containsBlanks" priority="202">
      <formula>LEN(TRIM(J19))=0</formula>
    </cfRule>
    <cfRule type="expression" dxfId="151" priority="158" stopIfTrue="1">
      <formula>AND(F19="Transition",J19&lt;&gt;"")</formula>
    </cfRule>
  </conditionalFormatting>
  <conditionalFormatting sqref="J76 AP76">
    <cfRule type="expression" dxfId="150" priority="136">
      <formula>G76&lt;&gt;""</formula>
    </cfRule>
  </conditionalFormatting>
  <conditionalFormatting sqref="J81">
    <cfRule type="expression" dxfId="149" priority="80">
      <formula>J81&lt;&gt;""</formula>
    </cfRule>
  </conditionalFormatting>
  <conditionalFormatting sqref="J19:K68">
    <cfRule type="expression" dxfId="148" priority="156" stopIfTrue="1">
      <formula>$HN19="X"</formula>
    </cfRule>
  </conditionalFormatting>
  <conditionalFormatting sqref="J19:L19 J21:L21 J23:L23 J25:L25 J27:L27 J29:L29 J31:L31 J33:L33 J35:L35 J37:L37 J39:L39 J41:L41 J43:L43 J45:L45 J47:L47 J49:L49 J51:L51 J53:L53 J55:L55 J57:L57 J59:L59 J61:L61 J63:L63 J65:L65 J67:L67">
    <cfRule type="expression" dxfId="147" priority="179">
      <formula>AND($F19="Hybrid - Thrust + 2 connections",$HD19="X")</formula>
    </cfRule>
  </conditionalFormatting>
  <conditionalFormatting sqref="J18:R18">
    <cfRule type="expression" dxfId="146" priority="183">
      <formula>$Q$15&lt;&gt;"X"</formula>
    </cfRule>
  </conditionalFormatting>
  <conditionalFormatting sqref="J19:R19 J21:R21 J23:R23 J25:R25 J27:R27 J29:R29 J31:R31 J33:R33 J35:R35 J37:R37 J39:R39 J41:R41 J43:R43 J45:R45 J47:R47 J49:R49 J51:R51 J53:R53 J55:R55 J57:R57 J59:R59 J61:R61 J63:R63 J65:R65 J67:R67">
    <cfRule type="expression" dxfId="145" priority="150" stopIfTrue="1">
      <formula>CU19="X"</formula>
    </cfRule>
  </conditionalFormatting>
  <conditionalFormatting sqref="J19:AM19 J21:AM21 J23:AM23 J25:AM25 J27:AM27 J29:AM29 J31:AM31 J33:AM33 J35:AM35 J37:AM37 J39:AM39 J41:AM41 J43:AM43 J45:AM45 J47:AM47 J49:AM49 J51:AM51 J53:AM53 J55:AM55 J57:AM57 J59:AM59 J61:AM61 J63:AM63 J65:AM65 J67:AM67">
    <cfRule type="expression" dxfId="144" priority="194">
      <formula>AND($FQ$15="Yes",LEFT(J19,FIND("*",J19))=$FQ$16)</formula>
    </cfRule>
    <cfRule type="expression" dxfId="143" priority="15077" stopIfTrue="1">
      <formula>AND($AL$16&lt;&gt;"",$E20="H",INDEX(Hyb_Family,MATCH(J19,HybridDD_Code,0))="F")</formula>
    </cfRule>
    <cfRule type="expression" dxfId="142" priority="15078" stopIfTrue="1">
      <formula>AND($AL$16&lt;&gt;"",$E20="H",INDEX(Hyb_Family,MATCH(J19,HybridDD_Code,0))="C")</formula>
    </cfRule>
    <cfRule type="expression" dxfId="141" priority="164">
      <formula>AND(OR(LEFT(J19,2)=$FQ20,LEFT(J19,3)=$FP20),J19&lt;&gt;"",$FQ$15="Yes")</formula>
    </cfRule>
    <cfRule type="expression" dxfId="140" priority="15076" stopIfTrue="1">
      <formula>AND($AL$16&lt;&gt;"",$E20="H",INDEX(Hyb_Family,MATCH(J19,HybridDD_Code,0))="A")</formula>
    </cfRule>
    <cfRule type="expression" dxfId="138" priority="159" stopIfTrue="1">
      <formula>AND(J19&lt;&gt;"",J20=0,$H19&lt;&gt;"No DD")</formula>
    </cfRule>
    <cfRule type="expression" dxfId="137" priority="14725" stopIfTrue="1">
      <formula>AND($AL$16&lt;&gt;"",$E20="H",INDEX(Hyb_Family,MATCH(J19,HybridDD_Code,0))="T")</formula>
    </cfRule>
    <cfRule type="expression" dxfId="136" priority="14726" stopIfTrue="1">
      <formula>AND($AL$16&lt;&gt;"",$E20="H",INDEX(Hyb_Family,MATCH(J19,HybridDD_Code,0))="S")</formula>
    </cfRule>
    <cfRule type="expression" dxfId="135" priority="14727" stopIfTrue="1">
      <formula>AND($AL$16&lt;&gt;"",$E20="H",INDEX(Hyb_Family,MATCH(J19,HybridDD_Code,0))="R")</formula>
    </cfRule>
  </conditionalFormatting>
  <conditionalFormatting sqref="J19:AN58">
    <cfRule type="expression" dxfId="134" priority="144" stopIfTrue="1">
      <formula>AND($G19&lt;&gt;"",J19&lt;&gt;"",J20=0)</formula>
    </cfRule>
  </conditionalFormatting>
  <conditionalFormatting sqref="J19:AN68 J69:AC69">
    <cfRule type="expression" dxfId="133" priority="149" stopIfTrue="1">
      <formula>AND(OR($F19="Transition",$F19="Transition - Surface Connection"),$F21="")</formula>
    </cfRule>
  </conditionalFormatting>
  <conditionalFormatting sqref="K7">
    <cfRule type="expression" dxfId="132" priority="563">
      <formula>$M$7="X"</formula>
    </cfRule>
  </conditionalFormatting>
  <conditionalFormatting sqref="K8">
    <cfRule type="expression" dxfId="131" priority="561">
      <formula>$M$8="X"</formula>
    </cfRule>
  </conditionalFormatting>
  <conditionalFormatting sqref="K19 K21 K23 K25 K27 K29 K31 K33 K35 K37 K39 K41 K43 K45 K47 K49 K51 K53 K55 K57 K59 K61 K63 K65 K67">
    <cfRule type="expression" dxfId="130" priority="11383">
      <formula>OR(AND($K19&lt;&gt;"",$E20="B",$DJ$12=$K19),AND($K19&lt;&gt;"",$E20="P",$DM$12=$K19))</formula>
    </cfRule>
  </conditionalFormatting>
  <conditionalFormatting sqref="K76">
    <cfRule type="expression" dxfId="129" priority="64">
      <formula>K76&lt;&gt;""</formula>
    </cfRule>
  </conditionalFormatting>
  <conditionalFormatting sqref="K81">
    <cfRule type="expression" dxfId="128" priority="112">
      <formula>J81&lt;&gt;""</formula>
    </cfRule>
  </conditionalFormatting>
  <conditionalFormatting sqref="K19:L19 K21:L21 K23:L23 K25:L25 K27:L27 K29:L29 K31:L31 K33:L33 K35:L35 K37:L37 K39:L39 K41:L41 K43:L43 K45:L45 K47:L47 K49:L49 K51:L51 K53:L53 K55:L55 K57:L57 K59:L59 K61:L61 K63:L63 K65:L65 K67:L67">
    <cfRule type="expression" dxfId="127" priority="161">
      <formula>AND($F19="Hybrid - Thrust + 2 connections",K19="")</formula>
    </cfRule>
  </conditionalFormatting>
  <conditionalFormatting sqref="K13:M13">
    <cfRule type="expression" dxfId="126" priority="567" stopIfTrue="1">
      <formula>(AND(K12&lt;1,K13&gt;K12))</formula>
    </cfRule>
  </conditionalFormatting>
  <conditionalFormatting sqref="K19:M19 K21:M21 K23:M23 K25:M25 K27:M27 K29:M29 K31:M31 K33:M33 K35:M35 K37:M37 K39:M39 K41:M41 K43:M43 K45:M45 K47:M47 K49:M49 K51:M51 K53:M53 K55:M55 K57:M57 K59:M59 K61:M61 K63:M63 K65:M65 K67:M67">
    <cfRule type="expression" dxfId="125" priority="180" stopIfTrue="1">
      <formula>AND(K19="",DE19="Z")</formula>
    </cfRule>
  </conditionalFormatting>
  <conditionalFormatting sqref="K19:Z19 K21:Z21 K23:Z23 K25:Z25 K27:Z27 K29:Z29 K31:Z31 K33:Z33 K35:Z35 K37:Z37 K39:Z39 K41:Z41 K43:Z43 K45:Z45 K47:Z47 K49:Z49 K51:Z51 K53:Z53 K55:Z55 K57:Z57 K59:Z59 K61:Z61 K63:Z63 K65:Z65 K67:Z67">
    <cfRule type="expression" dxfId="124" priority="157" stopIfTrue="1">
      <formula>AND($F21="",OR($E20=3,$E20="PA",$F19="Hybrid - min 4 swimmers (no DD)"))</formula>
    </cfRule>
  </conditionalFormatting>
  <conditionalFormatting sqref="K19:AN68">
    <cfRule type="containsBlanks" priority="199" stopIfTrue="1">
      <formula>LEN(TRIM(K19))=0</formula>
    </cfRule>
  </conditionalFormatting>
  <conditionalFormatting sqref="L5">
    <cfRule type="expression" dxfId="123" priority="536">
      <formula>$A$5="Club:"</formula>
    </cfRule>
  </conditionalFormatting>
  <conditionalFormatting sqref="L7">
    <cfRule type="expression" dxfId="122" priority="562">
      <formula>$M$7&lt;&gt;"X"</formula>
    </cfRule>
  </conditionalFormatting>
  <conditionalFormatting sqref="L8">
    <cfRule type="expression" dxfId="121" priority="560">
      <formula>$M$8=""</formula>
    </cfRule>
  </conditionalFormatting>
  <conditionalFormatting sqref="L76">
    <cfRule type="expression" dxfId="120" priority="134">
      <formula>K76&lt;&gt;""</formula>
    </cfRule>
  </conditionalFormatting>
  <conditionalFormatting sqref="L81">
    <cfRule type="expression" dxfId="119" priority="110">
      <formula>J81&lt;&gt;""</formula>
    </cfRule>
  </conditionalFormatting>
  <conditionalFormatting sqref="L13:Q13">
    <cfRule type="expression" dxfId="118" priority="564" stopIfTrue="1">
      <formula>L13&gt;L12</formula>
    </cfRule>
  </conditionalFormatting>
  <conditionalFormatting sqref="M5">
    <cfRule type="containsText" dxfId="117" priority="552" operator="containsText" text="TRANSITION">
      <formula>NOT(ISERROR(SEARCH("TRANSITION",M5)))</formula>
    </cfRule>
    <cfRule type="containsText" dxfId="116" priority="550" operator="containsText" text=" ">
      <formula>NOT(ISERROR(SEARCH(" ",M5)))</formula>
    </cfRule>
    <cfRule type="containsText" dxfId="115" priority="551" operator="containsText" text="BONUSES">
      <formula>NOT(ISERROR(SEARCH("BONUSES",M5)))</formula>
    </cfRule>
    <cfRule type="containsText" dxfId="114" priority="554" operator="containsText" text="HYBRID">
      <formula>NOT(ISERROR(SEARCH("HYBRID",M5)))</formula>
    </cfRule>
    <cfRule type="containsText" dxfId="113" priority="553" operator="containsText" text="ACROBATIC">
      <formula>NOT(ISERROR(SEARCH("ACROBATIC",M5)))</formula>
    </cfRule>
  </conditionalFormatting>
  <conditionalFormatting sqref="M76">
    <cfRule type="expression" dxfId="112" priority="132">
      <formula>K76&lt;&gt;""</formula>
    </cfRule>
  </conditionalFormatting>
  <conditionalFormatting sqref="M81">
    <cfRule type="expression" dxfId="111" priority="78">
      <formula>M81&lt;&gt;""</formula>
    </cfRule>
  </conditionalFormatting>
  <conditionalFormatting sqref="M6:N6">
    <cfRule type="containsText" dxfId="110" priority="557" operator="containsText" text="TRANSITION">
      <formula>NOT(ISERROR(SEARCH("TRANSITION",M6)))</formula>
    </cfRule>
    <cfRule type="containsText" dxfId="109" priority="555" operator="containsText" text=" ">
      <formula>NOT(ISERROR(SEARCH(" ",M6)))</formula>
    </cfRule>
    <cfRule type="containsText" dxfId="108" priority="556" operator="containsText" text="BONUSES">
      <formula>NOT(ISERROR(SEARCH("BONUSES",M6)))</formula>
    </cfRule>
    <cfRule type="containsText" dxfId="107" priority="558" operator="containsText" text="ACROBATIC">
      <formula>NOT(ISERROR(SEARCH("ACROBATIC",M6)))</formula>
    </cfRule>
    <cfRule type="containsText" dxfId="106" priority="559" operator="containsText" text="HYBRID">
      <formula>NOT(ISERROR(SEARCH("HYBRID",M6)))</formula>
    </cfRule>
  </conditionalFormatting>
  <conditionalFormatting sqref="M19:N19 M21:N21 M23:N23 M25:N25 M27:N27 M29:N29 M31:N31 M33:N33 M35:N35 M37:N37 M39:N39 M41:N41 M43:N43 M45:N45 M47:N47 M49:N49 M51:N51 M53:N53 M55:N55 M57:N57 M59:N59 M61:N61 M63:N63 M65:N65 M67:N67">
    <cfRule type="expression" dxfId="105" priority="14976">
      <formula>$CT19="X"</formula>
    </cfRule>
    <cfRule type="expression" dxfId="104" priority="14975">
      <formula>OR(AND(M19&lt;&gt;"",$E20="A",OR($DG$12=M19,$DH$12=M19)),AND(M19&lt;&gt;"",$E20="P",OR($DN$12=M19,$DO$12=M19)))</formula>
    </cfRule>
  </conditionalFormatting>
  <conditionalFormatting sqref="M19:AN68">
    <cfRule type="expression" dxfId="103" priority="155">
      <formula>$F19="Hybrid - Thrust + 2 connections"</formula>
    </cfRule>
  </conditionalFormatting>
  <conditionalFormatting sqref="N6">
    <cfRule type="expression" dxfId="102" priority="176">
      <formula>AND($N$6="",OR($F$8="Open Free Combination",$F$8="Open Team Acrobatic"),$F$19&lt;&gt;"")</formula>
    </cfRule>
  </conditionalFormatting>
  <conditionalFormatting sqref="N76">
    <cfRule type="expression" dxfId="101" priority="130">
      <formula>K76&lt;&gt;""</formula>
    </cfRule>
  </conditionalFormatting>
  <conditionalFormatting sqref="N81">
    <cfRule type="expression" dxfId="100" priority="108">
      <formula>M81&lt;&gt;""</formula>
    </cfRule>
  </conditionalFormatting>
  <conditionalFormatting sqref="O5">
    <cfRule type="containsText" dxfId="99" priority="549" operator="containsText" text="HYBRID">
      <formula>NOT(ISERROR(SEARCH("HYBRID",O5)))</formula>
    </cfRule>
    <cfRule type="containsText" dxfId="98" priority="548" operator="containsText" text="ACROBATIC">
      <formula>NOT(ISERROR(SEARCH("ACROBATIC",O5)))</formula>
    </cfRule>
    <cfRule type="containsText" dxfId="97" priority="545" operator="containsText" text=" ">
      <formula>NOT(ISERROR(SEARCH(" ",O5)))</formula>
    </cfRule>
    <cfRule type="containsText" dxfId="96" priority="546" operator="containsText" text="BONUSES">
      <formula>NOT(ISERROR(SEARCH("BONUSES",O5)))</formula>
    </cfRule>
    <cfRule type="containsText" dxfId="95" priority="547" operator="containsText" text="TRANSITION">
      <formula>NOT(ISERROR(SEARCH("TRANSITION",O5)))</formula>
    </cfRule>
  </conditionalFormatting>
  <conditionalFormatting sqref="O76">
    <cfRule type="expression" dxfId="94" priority="62">
      <formula>O76&lt;&gt;""</formula>
    </cfRule>
  </conditionalFormatting>
  <conditionalFormatting sqref="O81">
    <cfRule type="expression" dxfId="93" priority="106">
      <formula>M81&lt;&gt;""</formula>
    </cfRule>
  </conditionalFormatting>
  <conditionalFormatting sqref="P76">
    <cfRule type="expression" dxfId="92" priority="128">
      <formula>O76&lt;&gt;""</formula>
    </cfRule>
  </conditionalFormatting>
  <conditionalFormatting sqref="P81">
    <cfRule type="expression" dxfId="91" priority="76">
      <formula>P81&lt;&gt;""</formula>
    </cfRule>
  </conditionalFormatting>
  <conditionalFormatting sqref="Q76">
    <cfRule type="expression" dxfId="90" priority="126">
      <formula>O76&lt;&gt;""</formula>
    </cfRule>
  </conditionalFormatting>
  <conditionalFormatting sqref="Q81">
    <cfRule type="expression" dxfId="89" priority="104">
      <formula>P81&lt;&gt;""</formula>
    </cfRule>
  </conditionalFormatting>
  <conditionalFormatting sqref="Q19:R68">
    <cfRule type="expression" dxfId="88" priority="165">
      <formula>AND(E20="A",OR(Q19="RetSq",Q19="RetPa"),AND($F$7&lt;&gt;"Junior 15-19 (F) / 15-20 (M)",$F$7&lt;&gt;"Seniors 15 -&gt;"))</formula>
    </cfRule>
    <cfRule type="expression" dxfId="87" priority="181">
      <formula>AND(Q19&lt;&gt;"",$E20="P",OR(Q19=$DV$12,Q19=$DW$12))</formula>
    </cfRule>
    <cfRule type="expression" dxfId="86" priority="184">
      <formula>AND($DM19="X",Q19&lt;&gt;"")</formula>
    </cfRule>
  </conditionalFormatting>
  <conditionalFormatting sqref="R76">
    <cfRule type="expression" dxfId="85" priority="124">
      <formula>O76&lt;&gt;""</formula>
    </cfRule>
  </conditionalFormatting>
  <conditionalFormatting sqref="R81">
    <cfRule type="expression" dxfId="84" priority="102">
      <formula>P81&lt;&gt;""</formula>
    </cfRule>
  </conditionalFormatting>
  <conditionalFormatting sqref="S76">
    <cfRule type="expression" dxfId="83" priority="60">
      <formula>S76&lt;&gt;""</formula>
    </cfRule>
  </conditionalFormatting>
  <conditionalFormatting sqref="S81">
    <cfRule type="expression" dxfId="82" priority="74">
      <formula>S81&lt;&gt;""</formula>
    </cfRule>
  </conditionalFormatting>
  <conditionalFormatting sqref="S13:W13">
    <cfRule type="expression" dxfId="81" priority="15025">
      <formula>OR(AND($BV$8="T",GW14="X"),AND($BV$3="No",$BV$8&lt;&gt;"T",GW17&gt;0))</formula>
    </cfRule>
  </conditionalFormatting>
  <conditionalFormatting sqref="S11:X13">
    <cfRule type="expression" dxfId="80" priority="185">
      <formula>$BV$3="Yes"</formula>
    </cfRule>
  </conditionalFormatting>
  <conditionalFormatting sqref="S13:X13 Y12:AD12 H12:R12">
    <cfRule type="cellIs" dxfId="79" priority="191" operator="greaterThan">
      <formula>0</formula>
    </cfRule>
  </conditionalFormatting>
  <conditionalFormatting sqref="S13:X13">
    <cfRule type="expression" dxfId="78" priority="607">
      <formula>AND(S12&lt;&gt;"",S13="Not OK")</formula>
    </cfRule>
  </conditionalFormatting>
  <conditionalFormatting sqref="T5">
    <cfRule type="expression" dxfId="77" priority="2">
      <formula>OR(AND($X$5&lt;&gt;"",$T$5&lt;&gt;""),AND($X$5="",$T$5=""))</formula>
    </cfRule>
  </conditionalFormatting>
  <conditionalFormatting sqref="T76">
    <cfRule type="expression" dxfId="76" priority="122">
      <formula>S76&lt;&gt;""</formula>
    </cfRule>
  </conditionalFormatting>
  <conditionalFormatting sqref="T81">
    <cfRule type="expression" dxfId="75" priority="100">
      <formula>S81&lt;&gt;""</formula>
    </cfRule>
  </conditionalFormatting>
  <conditionalFormatting sqref="U76">
    <cfRule type="expression" dxfId="74" priority="120">
      <formula>S76&lt;&gt;""</formula>
    </cfRule>
  </conditionalFormatting>
  <conditionalFormatting sqref="U81">
    <cfRule type="expression" dxfId="73" priority="98">
      <formula>S81&lt;&gt;""</formula>
    </cfRule>
  </conditionalFormatting>
  <conditionalFormatting sqref="V76">
    <cfRule type="expression" dxfId="72" priority="118">
      <formula>S76&lt;&gt;""</formula>
    </cfRule>
  </conditionalFormatting>
  <conditionalFormatting sqref="V81">
    <cfRule type="expression" dxfId="71" priority="54">
      <formula>V81&lt;&gt;""</formula>
    </cfRule>
  </conditionalFormatting>
  <conditionalFormatting sqref="W76">
    <cfRule type="expression" dxfId="70" priority="40">
      <formula>W76&lt;&gt;""</formula>
    </cfRule>
  </conditionalFormatting>
  <conditionalFormatting sqref="W81">
    <cfRule type="expression" dxfId="69" priority="58">
      <formula>V81&lt;&gt;""</formula>
    </cfRule>
  </conditionalFormatting>
  <conditionalFormatting sqref="X5">
    <cfRule type="expression" dxfId="68" priority="1">
      <formula>OR(AND($X$5&lt;&gt;"",$T$5&lt;&gt;""),AND($X$5="",$T$5=""))</formula>
    </cfRule>
  </conditionalFormatting>
  <conditionalFormatting sqref="X11">
    <cfRule type="expression" dxfId="67" priority="192">
      <formula>OR($BV$4="Yes",$BV$8="T")</formula>
    </cfRule>
  </conditionalFormatting>
  <conditionalFormatting sqref="X11:X13">
    <cfRule type="expression" dxfId="66" priority="146">
      <formula>AND($S$12="T",$X$12="C")</formula>
    </cfRule>
  </conditionalFormatting>
  <conditionalFormatting sqref="X12:X13">
    <cfRule type="expression" dxfId="65" priority="187">
      <formula>OR($BV$4="Yes",$BV$8="T")</formula>
    </cfRule>
  </conditionalFormatting>
  <conditionalFormatting sqref="X13">
    <cfRule type="expression" dxfId="64" priority="193" stopIfTrue="1">
      <formula>AND($X$12="C",$X$13="OK")</formula>
    </cfRule>
  </conditionalFormatting>
  <conditionalFormatting sqref="X14">
    <cfRule type="notContainsBlanks" dxfId="63" priority="271">
      <formula>LEN(TRIM(X14))&gt;0</formula>
    </cfRule>
  </conditionalFormatting>
  <conditionalFormatting sqref="X76">
    <cfRule type="expression" dxfId="62" priority="46">
      <formula>W76&lt;&gt;""</formula>
    </cfRule>
  </conditionalFormatting>
  <conditionalFormatting sqref="X81">
    <cfRule type="expression" dxfId="61" priority="56">
      <formula>V81&lt;&gt;""</formula>
    </cfRule>
  </conditionalFormatting>
  <conditionalFormatting sqref="Y76">
    <cfRule type="expression" dxfId="60" priority="44">
      <formula>W76&lt;&gt;""</formula>
    </cfRule>
  </conditionalFormatting>
  <conditionalFormatting sqref="Y81">
    <cfRule type="expression" dxfId="59" priority="52">
      <formula>Y81&lt;&gt;""</formula>
    </cfRule>
  </conditionalFormatting>
  <conditionalFormatting sqref="Y11:AB13">
    <cfRule type="expression" dxfId="58" priority="173">
      <formula>$F$8&lt;&gt;"Open Team Acrobatic"</formula>
    </cfRule>
  </conditionalFormatting>
  <conditionalFormatting sqref="Y13:AB13">
    <cfRule type="beginsWith" dxfId="57" priority="175" operator="beginsWith" text="OK">
      <formula>LEFT(Y13,LEN("OK"))="OK"</formula>
    </cfRule>
    <cfRule type="beginsWith" dxfId="56" priority="174" operator="beginsWith" text="Not">
      <formula>LEFT(Y13,LEN("Not"))="Not"</formula>
    </cfRule>
  </conditionalFormatting>
  <conditionalFormatting sqref="Z76">
    <cfRule type="expression" dxfId="55" priority="42">
      <formula>W76&lt;&gt;""</formula>
    </cfRule>
  </conditionalFormatting>
  <conditionalFormatting sqref="Z81">
    <cfRule type="expression" dxfId="54" priority="50">
      <formula>Y81&lt;&gt;""</formula>
    </cfRule>
  </conditionalFormatting>
  <conditionalFormatting sqref="AA13">
    <cfRule type="containsText" dxfId="53" priority="145" operator="containsText" text="Optional">
      <formula>NOT(ISERROR(SEARCH("Optional",AA13)))</formula>
    </cfRule>
  </conditionalFormatting>
  <conditionalFormatting sqref="AA76">
    <cfRule type="expression" dxfId="52" priority="32">
      <formula>AA76&lt;&gt;""</formula>
    </cfRule>
  </conditionalFormatting>
  <conditionalFormatting sqref="AA81">
    <cfRule type="expression" dxfId="51" priority="48">
      <formula>Y81&lt;&gt;""</formula>
    </cfRule>
  </conditionalFormatting>
  <conditionalFormatting sqref="AA19:AH19 AA21:AM21 AA23:AM23 AA25:AM25 AA27:AM27 AA29:AM29 AA31:AM31 AA33:AM33 AA35:AM35 AA37:AM37 AA39:AM39 AA41:AM41 AA43:AM43 AA45:AM45 AA47:AM47 AA49:AM49 AA51:AM51 AA53:AM53 AA55:AM55 AA57:AM57 AA59:AM59 AA61:AM61 AA63:AM63 AA65:AM65 AA67:AM67">
    <cfRule type="expression" dxfId="50" priority="12124" stopIfTrue="1">
      <formula>AND($F21="",OR($E20=3,$E20="PA"))</formula>
    </cfRule>
  </conditionalFormatting>
  <conditionalFormatting sqref="AB76">
    <cfRule type="expression" dxfId="49" priority="38">
      <formula>AA76&lt;&gt;""</formula>
    </cfRule>
  </conditionalFormatting>
  <conditionalFormatting sqref="AB81">
    <cfRule type="expression" dxfId="48" priority="72">
      <formula>AB81&lt;&gt;""</formula>
    </cfRule>
  </conditionalFormatting>
  <conditionalFormatting sqref="AC76">
    <cfRule type="expression" dxfId="47" priority="36">
      <formula>AA76&lt;&gt;""</formula>
    </cfRule>
  </conditionalFormatting>
  <conditionalFormatting sqref="AC81">
    <cfRule type="expression" dxfId="46" priority="96">
      <formula>AB81&lt;&gt;""</formula>
    </cfRule>
  </conditionalFormatting>
  <conditionalFormatting sqref="AD76">
    <cfRule type="expression" dxfId="45" priority="34">
      <formula>AA76&lt;&gt;""</formula>
    </cfRule>
  </conditionalFormatting>
  <conditionalFormatting sqref="AD81">
    <cfRule type="expression" dxfId="44" priority="94">
      <formula>AB81&lt;&gt;""</formula>
    </cfRule>
  </conditionalFormatting>
  <conditionalFormatting sqref="AE76">
    <cfRule type="expression" dxfId="43" priority="24">
      <formula>AE76&lt;&gt;""</formula>
    </cfRule>
  </conditionalFormatting>
  <conditionalFormatting sqref="AE81">
    <cfRule type="expression" dxfId="42" priority="70">
      <formula>AE81&lt;&gt;""</formula>
    </cfRule>
  </conditionalFormatting>
  <conditionalFormatting sqref="AF76">
    <cfRule type="expression" dxfId="41" priority="30">
      <formula>AE76&lt;&gt;""</formula>
    </cfRule>
  </conditionalFormatting>
  <conditionalFormatting sqref="AF81">
    <cfRule type="expression" dxfId="40" priority="92">
      <formula>AE81&lt;&gt;""</formula>
    </cfRule>
  </conditionalFormatting>
  <conditionalFormatting sqref="AG76">
    <cfRule type="expression" dxfId="39" priority="28">
      <formula>AE76&lt;&gt;""</formula>
    </cfRule>
  </conditionalFormatting>
  <conditionalFormatting sqref="AG81">
    <cfRule type="expression" dxfId="38" priority="90">
      <formula>AE81&lt;&gt;""</formula>
    </cfRule>
  </conditionalFormatting>
  <conditionalFormatting sqref="AH76">
    <cfRule type="expression" dxfId="37" priority="26">
      <formula>AE76&lt;&gt;""</formula>
    </cfRule>
  </conditionalFormatting>
  <conditionalFormatting sqref="AH81">
    <cfRule type="expression" dxfId="36" priority="68">
      <formula>AH81&lt;&gt;""</formula>
    </cfRule>
  </conditionalFormatting>
  <conditionalFormatting sqref="AI76">
    <cfRule type="expression" dxfId="35" priority="16">
      <formula>AI76&lt;&gt;""</formula>
    </cfRule>
  </conditionalFormatting>
  <conditionalFormatting sqref="AI81">
    <cfRule type="expression" dxfId="34" priority="88">
      <formula>AH81&lt;&gt;""</formula>
    </cfRule>
  </conditionalFormatting>
  <conditionalFormatting sqref="AI19:AM19">
    <cfRule type="expression" dxfId="33" priority="14877" stopIfTrue="1">
      <formula>AND($F21="",OR($E20=3,$E20="PA"))</formula>
    </cfRule>
  </conditionalFormatting>
  <conditionalFormatting sqref="AJ76">
    <cfRule type="expression" dxfId="32" priority="22">
      <formula>AI76&lt;&gt;""</formula>
    </cfRule>
  </conditionalFormatting>
  <conditionalFormatting sqref="AJ81">
    <cfRule type="expression" dxfId="31" priority="86">
      <formula>AH81&lt;&gt;""</formula>
    </cfRule>
  </conditionalFormatting>
  <conditionalFormatting sqref="AK76">
    <cfRule type="expression" dxfId="30" priority="20">
      <formula>AI76&lt;&gt;""</formula>
    </cfRule>
  </conditionalFormatting>
  <conditionalFormatting sqref="AK81">
    <cfRule type="expression" dxfId="29" priority="66">
      <formula>AK81&lt;&gt;""</formula>
    </cfRule>
  </conditionalFormatting>
  <conditionalFormatting sqref="AL76">
    <cfRule type="expression" dxfId="28" priority="18">
      <formula>AI76&lt;&gt;""</formula>
    </cfRule>
  </conditionalFormatting>
  <conditionalFormatting sqref="AL81">
    <cfRule type="expression" dxfId="27" priority="84">
      <formula>AK81&lt;&gt;""</formula>
    </cfRule>
  </conditionalFormatting>
  <conditionalFormatting sqref="AM76">
    <cfRule type="expression" dxfId="26" priority="10">
      <formula>AM76&lt;&gt;""</formula>
    </cfRule>
  </conditionalFormatting>
  <conditionalFormatting sqref="AM81">
    <cfRule type="expression" dxfId="25" priority="82">
      <formula>AK81&lt;&gt;""</formula>
    </cfRule>
  </conditionalFormatting>
  <conditionalFormatting sqref="AN19 AN21 AN23 AN25 AN27 AN29 AN31 AN33 AN35 AN37 AN39 AN41 AN43 AN45 AN47 AN49 AN51 AN53 AN55 AN57 AN59 AN61 AN63 AN65 AN67">
    <cfRule type="expression" dxfId="24" priority="15026">
      <formula>OR(AND(AN19&lt;&gt;"",E20&lt;&gt;"H"),AND($AN19&lt;&gt;"",$BV$5&lt;&gt;"OK"))</formula>
    </cfRule>
  </conditionalFormatting>
  <conditionalFormatting sqref="AN76">
    <cfRule type="expression" dxfId="23" priority="14">
      <formula>AM76&lt;&gt;""</formula>
    </cfRule>
  </conditionalFormatting>
  <conditionalFormatting sqref="AO13">
    <cfRule type="expression" dxfId="22" priority="148">
      <formula>AND($BA$17&gt;0,$C$10&lt;&gt;"")</formula>
    </cfRule>
  </conditionalFormatting>
  <conditionalFormatting sqref="AO18:AO58">
    <cfRule type="cellIs" dxfId="21" priority="606" operator="equal">
      <formula>0</formula>
    </cfRule>
  </conditionalFormatting>
  <conditionalFormatting sqref="AO20 AO22 AO24 AO26 AO28 AO30 AO32 AO34 AO36 AO38 AO40 AO42 AO44 AO46 AO48 AO50 AO52 AO54 AO56 AO58">
    <cfRule type="expression" dxfId="20" priority="15051">
      <formula>OR(AND(CO20="X",J19&lt;&gt;""),AND($BA19="X",$C$10&lt;&gt;""))</formula>
    </cfRule>
  </conditionalFormatting>
  <conditionalFormatting sqref="AO76">
    <cfRule type="expression" dxfId="19" priority="12">
      <formula>AM76&lt;&gt;""</formula>
    </cfRule>
  </conditionalFormatting>
  <conditionalFormatting sqref="AU22 AU24 AU26 AU28 AU30 AU32 AU34 AU36 AU38 AU40 AU42 AU44 AU46 AU48 AU50 AU52 AU54 AU56 AU58 AU60 AU62 AU64 AU66 AU68">
    <cfRule type="expression" dxfId="18" priority="1643">
      <formula>CR22="X"</formula>
    </cfRule>
  </conditionalFormatting>
  <conditionalFormatting sqref="AW60 AW62 AW64 AW66 AW68">
    <cfRule type="expression" dxfId="17" priority="1587">
      <formula>CP60="X"</formula>
    </cfRule>
  </conditionalFormatting>
  <conditionalFormatting sqref="AX60:AY60 AX62:AY62 AX64:AY64 AX66:AY66 AX68:AY68">
    <cfRule type="expression" dxfId="16" priority="10984">
      <formula>CP60="X"</formula>
    </cfRule>
  </conditionalFormatting>
  <conditionalFormatting sqref="AZ60 AZ62 AZ64 AZ66 AZ68">
    <cfRule type="expression" dxfId="15" priority="10709">
      <formula>CQ60="X"</formula>
    </cfRule>
  </conditionalFormatting>
  <conditionalFormatting sqref="BA60 BA62 BA64 BA66 BA68">
    <cfRule type="expression" dxfId="14" priority="10434">
      <formula>CQ60="X"</formula>
    </cfRule>
  </conditionalFormatting>
  <conditionalFormatting sqref="BB22 BB24 BB26 BB28 BB30 BB32 BB34 BB36 BB38 BB40 BB42 BB44 BB46 BB48 BB50 BB52 BB54 BB56 BB58 BB60 BB62 BB64 BB66 BB68">
    <cfRule type="expression" dxfId="13" priority="10159">
      <formula>CQ22="X"</formula>
    </cfRule>
  </conditionalFormatting>
  <conditionalFormatting sqref="BC22 BC24 BC26 BC28 BC30 BC32 BC34 BC36 BC38 BC40 BC42 BC44 BC46 BC48 BC50 BC52 BC54 BC56 BC58 BC60 BC62 BC64 BC66 BC68">
    <cfRule type="expression" dxfId="12" priority="9884">
      <formula>CQ22="X"</formula>
    </cfRule>
  </conditionalFormatting>
  <conditionalFormatting sqref="BD22 BD24 BD26 BD28 BD30 BD32 BD34 BD36 BD38 BD40 BD42 BD44 BD46 BD48 BD50 BD52 BD54 BD56 BD58 BD60 BD62 BD64 BD66 BD68">
    <cfRule type="expression" dxfId="11" priority="9609">
      <formula>CQ22="X"</formula>
    </cfRule>
  </conditionalFormatting>
  <conditionalFormatting sqref="BE22 BE24 BE26 BE28 BE30 BE32 BE34 BE36 BE38 BE40 BE42 BE44 BE46 BE48 BE50 BE52 BE54 BE56 BE58 BE60 BE62 BE64 BE66 BE68">
    <cfRule type="expression" dxfId="10" priority="1559">
      <formula>CQ22="X"</formula>
    </cfRule>
  </conditionalFormatting>
  <conditionalFormatting sqref="CN20 CN22 CN24 CN26 CN28 CN30 CN32 CN34 CN36 CN38 CN40 CN42 CN44 CN46 CN48 CN50 CN52 CN54 CN56 CN58 CN60 CN62 CN64 CN66 CN68">
    <cfRule type="expression" dxfId="9" priority="572">
      <formula>CP20="X"</formula>
    </cfRule>
  </conditionalFormatting>
  <dataValidations count="10">
    <dataValidation type="list" allowBlank="1" showInputMessage="1" showErrorMessage="1" sqref="C19 C21 C69 C23 C25 C27 C29 C31 C33 C35 C37 C39 C41 C43 C45 C47 C49 C51 C53 C55 C57 C59 C61 C63 C65 C67" xr:uid="{00000000-0002-0000-0100-000000000000}">
      <formula1>"00,01,02,03"</formula1>
    </dataValidation>
    <dataValidation type="list" allowBlank="1" showInputMessage="1" showErrorMessage="1" sqref="D19 D21 D69 D23 D25 D27 D29 D31 D33 D35 D37 D39 D41 D43 D45 D47 D49 D51 D53 D55 D57 D59 D61 D63 D65 D67" xr:uid="{00000000-0002-0000-0100-000001000000}">
      <formula1>"00,01,02,03,04,05,06,07,08,09,10,11,12,13,14,15,16,17,18,19,20,21,22,23,24,25,26,27,28,29,30,31,32,33,34,35,36,37,38,39,40,41,42,43,44,45,46,47,48,49,50,51,52,53,54,55,56,57,58,59"</formula1>
    </dataValidation>
    <dataValidation type="list" allowBlank="1" showInputMessage="1" showErrorMessage="1" sqref="L7:L8" xr:uid="{00000000-0002-0000-0100-000002000000}">
      <formula1>"Y,N,y,n"</formula1>
    </dataValidation>
    <dataValidation type="list" allowBlank="1" showInputMessage="1" showErrorMessage="1" sqref="A5:D5" xr:uid="{00000000-0002-0000-0100-000003000000}">
      <formula1>"Federation:,Club:"</formula1>
    </dataValidation>
    <dataValidation type="list" allowBlank="1" showInputMessage="1" showErrorMessage="1" sqref="J67:Z67 J59:Z59 J61:Z61 J63:Z63 J65:Z65 J19:AM19 J21:AM21 J23:AM23 J25:AM25 J27:AM27 J29:AM29 J31:AM31 J33:AM33 J35:AM35 J37:AM37 J39:AM39 J41:AM41 J43:AM43 J45:AM45 J47:AM47 J49:AM49 J51:AM51 J53:AM53 J55:AM55 J57:AM57" xr:uid="{00000000-0002-0000-0100-000004000000}">
      <formula1>INDIRECT(BI19)</formula1>
    </dataValidation>
    <dataValidation type="list" allowBlank="1" showInputMessage="1" showErrorMessage="1" sqref="AA61:AB61 AA63:AB63 AA65:AB65 AA67:AB67 AA59:AB59" xr:uid="{00000000-0002-0000-0100-000005000000}">
      <formula1>INDIRECT(BX59)</formula1>
    </dataValidation>
    <dataValidation type="list" allowBlank="1" showInputMessage="1" showErrorMessage="1" sqref="AC67:AD67 AC65:AD65 AC63:AD63 AC59:AD59 AC61:AD61" xr:uid="{00000000-0002-0000-0100-000006000000}">
      <formula1>INDIRECT(BX59)</formula1>
    </dataValidation>
    <dataValidation type="list" allowBlank="1" showInputMessage="1" showErrorMessage="1" sqref="AE61:AF61 AE63:AF63 AE65:AF65 AE67:AF67 AE59:AF59" xr:uid="{00000000-0002-0000-0100-000007000000}">
      <formula1>INDIRECT(BX59)</formula1>
    </dataValidation>
    <dataValidation type="list" allowBlank="1" showInputMessage="1" showErrorMessage="1" sqref="AG67:AH67 AG65:AH65 AG63:AH63 AG59:AH59 AG61:AH61" xr:uid="{00000000-0002-0000-0100-000008000000}">
      <formula1>INDIRECT(BX59)</formula1>
    </dataValidation>
    <dataValidation type="list" allowBlank="1" showInputMessage="1" showErrorMessage="1" sqref="AI67:AM67 AI61:AM61 AI63:AM63 AI65:AM65 AI59:AM59" xr:uid="{00000000-0002-0000-0100-000009000000}">
      <formula1>INDIRECT(BX59)</formula1>
    </dataValidation>
  </dataValidations>
  <printOptions horizontalCentered="1" verticalCentered="1"/>
  <pageMargins left="0.25" right="0.25" top="0.75" bottom="0.75" header="0.3" footer="0.3"/>
  <pageSetup scale="44" orientation="landscape" horizontalDpi="4294967293" r:id="rId1"/>
  <ignoredErrors>
    <ignoredError sqref="H48" 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78" id="{738B32AF-74F7-400B-88A7-B74A2C056FA2}">
            <xm:f>OR(AND(NOT(ISERROR(VLOOKUP(J19,TREDD!$E$3:$E$13,1,FALSE))),E20=3),AND(J19="",F19="Hybrid - Choreography (DD = 1)"))</xm:f>
            <x14:dxf>
              <font>
                <color theme="0"/>
              </font>
              <fill>
                <patternFill>
                  <bgColor rgb="FFFF0000"/>
                </patternFill>
              </fill>
            </x14:dxf>
          </x14:cfRule>
          <xm:sqref>J19 J21 J23 J25 J27 J29 J31 J33 J35 J37 J39 J41 J43 J45 J47 J49 J51 J53 J55 J57 J59 J61 J63 J65 J67 J69</xm:sqref>
        </x14:conditionalFormatting>
        <x14:conditionalFormatting xmlns:xm="http://schemas.microsoft.com/office/excel/2006/main">
          <x14:cfRule type="expression" priority="160" id="{25D8D157-A45C-4751-954C-46A4CD9A2562}">
            <xm:f>AND($EI19="X",INDEX(HybridDD!$A$4:$A$473,MATCH(J19,HybridDD!$B$4:$B$473,0))=$EI20)</xm:f>
            <x14:dxf>
              <font>
                <b/>
                <i val="0"/>
                <color theme="0"/>
              </font>
              <fill>
                <patternFill>
                  <bgColor rgb="FFFF0000"/>
                </patternFill>
              </fill>
            </x14:dxf>
          </x14:cfRule>
          <xm:sqref>J19:AM19 J21:AM21 J23:AM23 J25:AM25 J27:AM27 J29:AM29 J31:AM31 J33:AM33 J35:AM35 J37:AM37 J39:AM39 J41:AM41 J43:AM43 J45:AM45 J47:AM47 J49:AM49 J51:AM51 J53:AM53 J55:AM55 J57:AM57 J59:AM59 J61:AM61 J63:AM63 J65:AM65 J67:AM67</xm:sqref>
        </x14:conditionalFormatting>
      </x14:conditionalFormattings>
    </ext>
    <ext xmlns:x14="http://schemas.microsoft.com/office/spreadsheetml/2009/9/main" uri="{CCE6A557-97BC-4b89-ADB6-D9C93CAAB3DF}">
      <x14:dataValidations xmlns:xm="http://schemas.microsoft.com/office/excel/2006/main" count="24">
        <x14:dataValidation type="list" allowBlank="1" showInputMessage="1" showErrorMessage="1" xr:uid="{00000000-0002-0000-0100-00000A000000}">
          <x14:formula1>
            <xm:f>IF(AND($BV$5="OK",E20="H",H19&lt;&gt;"No DD",F19&lt;&gt;"Hybrid - Solo",F19&lt;&gt;"Hybrid - Duet"),HybridBonus_Code,Data!$BI$1:$BI$5)</xm:f>
          </x14:formula1>
          <xm:sqref>AN19 AN21 AN23 AN25 AN27 AN29 AN31 AN33 AN35 AN37 AN39 AN41 AN43 AN45 AN47 AN49 AN51 AN53 AN55 AN57 AN59 AN61 AN63 AN65 AN67</xm:sqref>
        </x14:dataValidation>
        <x14:dataValidation type="list" allowBlank="1" showInputMessage="1" showErrorMessage="1" xr:uid="{00000000-0002-0000-0100-00000B000000}">
          <x14:formula1>
            <xm:f>IF(E70="H",HybridDD,IF(E70=3,Data!$BJ$1:$BJ$5,IF(E70="A",AcroADD2,IF(E70="B",AcroBDD2,IF(E70="C",AcroCDD2,IF(E70="P",AcroPDD2,Data!$BJ$1:$BJ$5))))))</xm:f>
          </x14:formula1>
          <xm:sqref>K69</xm:sqref>
        </x14:dataValidation>
        <x14:dataValidation type="list" allowBlank="1" showInputMessage="1" showErrorMessage="1" xr:uid="{00000000-0002-0000-0100-00000C000000}">
          <x14:formula1>
            <xm:f>IF(E70="H",HybridDD,IF(E70=3,Data!$BJ$1:$BJ$5,IF(E70="A",AcroADD3,IF(E70="B",AcroBDD3,IF(E70="C",AcroCDD3,IF(E70="P",AcroPDD3,Data!$BJ$1:$BJ$5))))))</xm:f>
          </x14:formula1>
          <xm:sqref>L69</xm:sqref>
        </x14:dataValidation>
        <x14:dataValidation type="list" allowBlank="1" showInputMessage="1" showErrorMessage="1" xr:uid="{00000000-0002-0000-0100-00000D000000}">
          <x14:formula1>
            <xm:f>IF(E70="H",HybridDD,IF(E70=3,Data!$BJ$1:$BJ$5,IF(E70="A",AcroADD4p1,IF(E70="B",AcroBDD4p1,IF(E70="C",AcroCDD4p1,IF(E70="P",AcroPDD4p1,Data!$BJ$1:$BJ$5))))))</xm:f>
          </x14:formula1>
          <xm:sqref>M69</xm:sqref>
        </x14:dataValidation>
        <x14:dataValidation type="list" allowBlank="1" showInputMessage="1" showErrorMessage="1" xr:uid="{00000000-0002-0000-0100-00000E000000}">
          <x14:formula1>
            <xm:f>IF(E70="H",HybridDD,Data!$BJ$1:$BJ$5)</xm:f>
          </x14:formula1>
          <xm:sqref>Q69</xm:sqref>
        </x14:dataValidation>
        <x14:dataValidation type="list" allowBlank="1" showInputMessage="1" showErrorMessage="1" xr:uid="{00000000-0002-0000-0100-00000F000000}">
          <x14:formula1>
            <xm:f>IF(E70="H",HybridDD,Data!$BJ$1:$BJ$5)</xm:f>
          </x14:formula1>
          <xm:sqref>R69</xm:sqref>
        </x14:dataValidation>
        <x14:dataValidation type="list" allowBlank="1" showInputMessage="1" showErrorMessage="1" xr:uid="{00000000-0002-0000-0100-000010000000}">
          <x14:formula1>
            <xm:f>IF(E70="H",HybridDD,Data!$BJ$1:$BJ$5)</xm:f>
          </x14:formula1>
          <xm:sqref>AC69</xm:sqref>
        </x14:dataValidation>
        <x14:dataValidation type="list" allowBlank="1" showInputMessage="1" showErrorMessage="1" xr:uid="{00000000-0002-0000-0100-000011000000}">
          <x14:formula1>
            <xm:f>IF(E70="H",HybridDD,Data!$BJ$1:$BJ$5)</xm:f>
          </x14:formula1>
          <xm:sqref>AB69</xm:sqref>
        </x14:dataValidation>
        <x14:dataValidation type="list" allowBlank="1" showInputMessage="1" showErrorMessage="1" xr:uid="{00000000-0002-0000-0100-000012000000}">
          <x14:formula1>
            <xm:f>IF(E70="H",HybridDD,Data!$BJ$1:$BJ$5)</xm:f>
          </x14:formula1>
          <xm:sqref>X69</xm:sqref>
        </x14:dataValidation>
        <x14:dataValidation type="list" allowBlank="1" showInputMessage="1" showErrorMessage="1" xr:uid="{00000000-0002-0000-0100-000013000000}">
          <x14:formula1>
            <xm:f>IF(E70="H",HybridDD,Data!$BJ$1:$BJ$5)</xm:f>
          </x14:formula1>
          <xm:sqref>W69</xm:sqref>
        </x14:dataValidation>
        <x14:dataValidation type="list" allowBlank="1" showInputMessage="1" showErrorMessage="1" xr:uid="{00000000-0002-0000-0100-000014000000}">
          <x14:formula1>
            <xm:f>IF(E70="H",HybridDD,Data!$BJ$1:$BJ$5)</xm:f>
          </x14:formula1>
          <xm:sqref>T69</xm:sqref>
        </x14:dataValidation>
        <x14:dataValidation type="list" allowBlank="1" showInputMessage="1" showErrorMessage="1" xr:uid="{00000000-0002-0000-0100-000015000000}">
          <x14:formula1>
            <xm:f>IF(E70="H",HybridDD,Data!$BJ$1:$BJ$5)</xm:f>
          </x14:formula1>
          <xm:sqref>U69</xm:sqref>
        </x14:dataValidation>
        <x14:dataValidation type="list" allowBlank="1" showInputMessage="1" showErrorMessage="1" xr:uid="{00000000-0002-0000-0100-000016000000}">
          <x14:formula1>
            <xm:f>IF(E70="H",HybridDD,Data!$BJ$1:$BJ$5)</xm:f>
          </x14:formula1>
          <xm:sqref>S69</xm:sqref>
        </x14:dataValidation>
        <x14:dataValidation type="list" allowBlank="1" showInputMessage="1" showErrorMessage="1" xr:uid="{00000000-0002-0000-0100-000017000000}">
          <x14:formula1>
            <xm:f>IF(E70="H",HybridDD,Data!$BJ$1:$BJ$5)</xm:f>
          </x14:formula1>
          <xm:sqref>V69</xm:sqref>
        </x14:dataValidation>
        <x14:dataValidation type="list" allowBlank="1" showInputMessage="1" showErrorMessage="1" xr:uid="{00000000-0002-0000-0100-000018000000}">
          <x14:formula1>
            <xm:f>IF(E70="H",HybridDD,IF(E70=3,Data!$BJ$1:$BJ$5,IF(E70="A",AcroADD4p2,IF(E70="B",AcroBDD4p2,IF(E70="C",AcroCDD4p2,IF(E70="P",AcroPDD4p2,Data!$BJ$1:$BJ$5))))))</xm:f>
          </x14:formula1>
          <xm:sqref>N69</xm:sqref>
        </x14:dataValidation>
        <x14:dataValidation type="list" allowBlank="1" showInputMessage="1" showErrorMessage="1" xr:uid="{00000000-0002-0000-0100-000019000000}">
          <x14:formula1>
            <xm:f>IF(E70="H",HybridDD,IF(E70=3,Data!$BJ$1:$BJ$5,IF(E70="A",AcroADD5,IF(E70="B",AcroBDD5,IF(E70="C",AcroCDD5,IF(E70="P",AcroPDD5,Data!$BJ$1:$BJ$5))))))</xm:f>
          </x14:formula1>
          <xm:sqref>O69</xm:sqref>
        </x14:dataValidation>
        <x14:dataValidation type="list" allowBlank="1" showInputMessage="1" showErrorMessage="1" xr:uid="{00000000-0002-0000-0100-00001A000000}">
          <x14:formula1>
            <xm:f>IF(E70="H",HybridDD,IF(E70=3,Data!$BJ$1:$BJ$5,IF(E70="A",Data!$BJ$1:$BJ$5,IF(E70="B",Data!$BJ$1:$BJ$5,IF(E70="C",AcroCDD6,IF(E70="P",Data!$BJ$1:$BJ$5,Data!$BJ$1:$BJ$5))))))</xm:f>
          </x14:formula1>
          <xm:sqref>P69</xm:sqref>
        </x14:dataValidation>
        <x14:dataValidation type="list" allowBlank="1" showInputMessage="1" showErrorMessage="1" xr:uid="{00000000-0002-0000-0100-00001B000000}">
          <x14:formula1>
            <xm:f>IF(E70="H",HybridDD,IF(E70=3,TreDD,IF(E70="A",AcroADD1,IF(E70="B",AcroBDD1,IF(E70="C",AcroCDD1,IF(E70="P",AcroPDD1,IF(E70="PA",AcroPairDD,Data!$BJ$1:$BJ$5)))))))</xm:f>
          </x14:formula1>
          <xm:sqref>J69</xm:sqref>
        </x14:dataValidation>
        <x14:dataValidation type="list" allowBlank="1" showInputMessage="1" showErrorMessage="1" xr:uid="{00000000-0002-0000-0100-00001C000000}">
          <x14:formula1>
            <xm:f>IF(D70="H",HybridDD,Data!$BJ$1:$BJ$5)</xm:f>
          </x14:formula1>
          <xm:sqref>Y69</xm:sqref>
        </x14:dataValidation>
        <x14:dataValidation type="list" allowBlank="1" showInputMessage="1" showErrorMessage="1" xr:uid="{00000000-0002-0000-0100-00001D000000}">
          <x14:formula1>
            <xm:f>IF(D70="H",HybridDD,Data!$BJ$1:$BJ$5)</xm:f>
          </x14:formula1>
          <xm:sqref>Z69:AA69</xm:sqref>
        </x14:dataValidation>
        <x14:dataValidation type="list" allowBlank="1" showInputMessage="1" showErrorMessage="1" xr:uid="{00000000-0002-0000-0100-00001E000000}">
          <x14:formula1>
            <xm:f>IF($BV$8="T",Data!$C$14:$C$16,IF($BV$8="F",Data!$C$10:$C$11,IF($BV$8="A",Data!$C$14:$C$16,Data!$C$3:$C$7)))</xm:f>
          </x14:formula1>
          <xm:sqref>F7</xm:sqref>
        </x14:dataValidation>
        <x14:dataValidation type="list" allowBlank="1" showInputMessage="1" showErrorMessage="1" xr:uid="{00000000-0002-0000-0100-00001F000000}">
          <x14:formula1>
            <xm:f>IF($BV$7=1,Data!$A$17:$A$22,IF($BV$7=2,Data!$A$25:$A$35,IF($BV$7=3,Data!$A$38:$A$43,IF($BV$7=4,Data!$A$17:$A$22,Data!$A$3:$A$14))))</xm:f>
          </x14:formula1>
          <xm:sqref>F8</xm:sqref>
        </x14:dataValidation>
        <x14:dataValidation type="list" allowBlank="1" showInputMessage="1" showErrorMessage="1" xr:uid="{00000000-0002-0000-0100-000020000000}">
          <x14:formula1>
            <xm:f>Data!$E$2:$E$11</xm:f>
          </x14:formula1>
          <xm:sqref>F19 F69 F21 F23 F25 F27 F29 F31 F33 F35 F37 F39 F41 F43 F45 F47 F49 F51 F53 F55 F57 F59 F61 F63 F65 F67</xm:sqref>
        </x14:dataValidation>
        <x14:dataValidation type="list" allowBlank="1" showInputMessage="1" xr:uid="{00000000-0002-0000-0100-000021000000}">
          <x14:formula1>
            <xm:f>IF($A$5="Federation:",Data!$CF$1:$CF$209,IF(Instructions!$K$3&lt;&gt;"",Instructions!$K$2:$K$27,Data!$CH$1:$CH$2))</xm:f>
          </x14:formula1>
          <xm:sqref>F5:I5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X47"/>
  <sheetViews>
    <sheetView zoomScale="85" zoomScaleNormal="85" workbookViewId="0">
      <selection activeCell="S6" sqref="S6:T7"/>
    </sheetView>
  </sheetViews>
  <sheetFormatPr baseColWidth="10" defaultColWidth="9.1796875" defaultRowHeight="13" x14ac:dyDescent="0.35"/>
  <cols>
    <col min="1" max="1" width="14.81640625" style="66" customWidth="1"/>
    <col min="2" max="2" width="12" style="66" customWidth="1"/>
    <col min="3" max="3" width="4" style="66" customWidth="1"/>
    <col min="4" max="4" width="1.81640625" style="66" customWidth="1"/>
    <col min="5" max="6" width="12.7265625" style="66" customWidth="1"/>
    <col min="7" max="7" width="1.81640625" style="66" customWidth="1"/>
    <col min="8" max="8" width="31" style="66" customWidth="1"/>
    <col min="9" max="9" width="1.81640625" style="66" customWidth="1"/>
    <col min="10" max="10" width="19.1796875" style="66" customWidth="1"/>
    <col min="11" max="11" width="18" style="66" customWidth="1"/>
    <col min="12" max="12" width="1.81640625" style="66" customWidth="1"/>
    <col min="13" max="13" width="11.1796875" style="66" customWidth="1"/>
    <col min="14" max="14" width="8.453125" style="66" customWidth="1"/>
    <col min="15" max="15" width="7.54296875" style="66" customWidth="1"/>
    <col min="16" max="16" width="9.1796875" style="125" customWidth="1"/>
    <col min="17" max="20" width="9.1796875" style="66"/>
    <col min="21" max="21" width="9.1796875" style="221" customWidth="1"/>
    <col min="22" max="22" width="9.1796875" style="125" customWidth="1"/>
    <col min="23" max="24" width="0" style="125" hidden="1" customWidth="1"/>
    <col min="25" max="16384" width="9.1796875" style="66"/>
  </cols>
  <sheetData>
    <row r="1" spans="1:24" ht="12" customHeight="1" x14ac:dyDescent="0.35">
      <c r="A1" s="65"/>
    </row>
    <row r="2" spans="1:24" ht="40" customHeight="1" x14ac:dyDescent="0.35">
      <c r="H2" s="83" t="s">
        <v>623</v>
      </c>
    </row>
    <row r="3" spans="1:24" ht="15" customHeight="1" x14ac:dyDescent="0.35"/>
    <row r="4" spans="1:24" ht="9" customHeight="1" x14ac:dyDescent="0.35">
      <c r="A4" s="67" t="str">
        <f>CONCATENATE("In force as from September 2025  -  ",'Coach Card'!AO4)</f>
        <v>In force as from September 2025  -  v. 9.1</v>
      </c>
    </row>
    <row r="5" spans="1:24" ht="33" customHeight="1" x14ac:dyDescent="0.35">
      <c r="A5" s="373" t="str">
        <f>IF('Coach Card'!A5="Club:","Club:",CONCATENATE("AQUA Member Federation:"))</f>
        <v>AQUA Member Federation:</v>
      </c>
      <c r="B5" s="374"/>
      <c r="C5" s="375"/>
      <c r="D5" s="68"/>
      <c r="E5" s="350" t="str">
        <f>IF('Coach Card'!A5="Club:",IF('Coach Card'!F5&lt;&gt;"",'Coach Card'!F5,""),IF('Coach Card'!F5&lt;&gt;"",CONCATENATE('Coach Card'!F5," - ",'Coach Card'!L5),""))</f>
        <v/>
      </c>
      <c r="F5" s="350"/>
      <c r="G5" s="350"/>
      <c r="H5" s="350"/>
      <c r="I5" s="350"/>
      <c r="J5" s="350"/>
      <c r="K5" s="350"/>
      <c r="L5" s="350"/>
      <c r="M5" s="350"/>
      <c r="N5" s="350"/>
      <c r="O5" s="350"/>
      <c r="P5" s="350"/>
      <c r="Q5" s="350"/>
      <c r="R5" s="399"/>
      <c r="S5" s="386" t="s">
        <v>1369</v>
      </c>
      <c r="T5" s="387"/>
    </row>
    <row r="6" spans="1:24" ht="33" customHeight="1" x14ac:dyDescent="0.35">
      <c r="A6" s="373" t="s">
        <v>601</v>
      </c>
      <c r="B6" s="374"/>
      <c r="C6" s="375"/>
      <c r="D6" s="68"/>
      <c r="E6" s="350" t="str">
        <f>IF('Coach Card'!F6&lt;&gt;"",'Coach Card'!F6,"")</f>
        <v/>
      </c>
      <c r="F6" s="350"/>
      <c r="G6" s="350"/>
      <c r="H6" s="350"/>
      <c r="I6" s="350"/>
      <c r="J6" s="350"/>
      <c r="K6" s="350"/>
      <c r="L6" s="350"/>
      <c r="M6" s="350"/>
      <c r="N6" s="350"/>
      <c r="O6" s="350"/>
      <c r="P6" s="350"/>
      <c r="Q6" s="350"/>
      <c r="R6" s="399"/>
      <c r="S6" s="388"/>
      <c r="T6" s="389"/>
    </row>
    <row r="7" spans="1:24" ht="33" customHeight="1" x14ac:dyDescent="0.35">
      <c r="A7" s="373" t="s">
        <v>4</v>
      </c>
      <c r="B7" s="374"/>
      <c r="C7" s="375"/>
      <c r="D7" s="68"/>
      <c r="E7" s="350" t="str">
        <f>IF('Coach Card'!F7&lt;&gt;"",'Coach Card'!F7,"")</f>
        <v/>
      </c>
      <c r="F7" s="350"/>
      <c r="G7" s="350"/>
      <c r="H7" s="350"/>
      <c r="I7" s="350"/>
      <c r="J7" s="350"/>
      <c r="K7" s="350"/>
      <c r="L7" s="350"/>
      <c r="M7" s="350"/>
      <c r="N7" s="350"/>
      <c r="O7" s="350"/>
      <c r="P7" s="400"/>
      <c r="Q7" s="400"/>
      <c r="R7" s="401"/>
      <c r="S7" s="388"/>
      <c r="T7" s="389"/>
    </row>
    <row r="8" spans="1:24" ht="18" customHeight="1" x14ac:dyDescent="0.35">
      <c r="A8" s="383" t="s">
        <v>602</v>
      </c>
      <c r="B8" s="384"/>
      <c r="C8" s="385"/>
      <c r="D8" s="69" t="str">
        <f>IF('Coach Card'!N5&lt;&gt;"","X","")</f>
        <v/>
      </c>
      <c r="E8" s="362" t="s">
        <v>603</v>
      </c>
      <c r="F8" s="364"/>
      <c r="G8" s="69" t="str">
        <f>IF('Coach Card'!P5&lt;&gt;"","X","")</f>
        <v/>
      </c>
      <c r="H8" s="205" t="s">
        <v>604</v>
      </c>
      <c r="I8" s="70"/>
      <c r="J8" s="210"/>
      <c r="K8" s="210"/>
      <c r="L8" s="71"/>
      <c r="M8" s="210"/>
      <c r="N8" s="211"/>
      <c r="O8" s="211"/>
      <c r="P8" s="390" t="str">
        <f>IF('Coach Card'!$T$5="","2027 - rules","2016 - rules")</f>
        <v>2027 - rules</v>
      </c>
      <c r="Q8" s="391"/>
      <c r="R8" s="391"/>
      <c r="S8" s="391"/>
      <c r="T8" s="392"/>
    </row>
    <row r="9" spans="1:24" ht="19" customHeight="1" x14ac:dyDescent="0.2">
      <c r="A9" s="72"/>
      <c r="B9" s="73"/>
      <c r="C9" s="74"/>
      <c r="D9" s="69" t="str">
        <f>IF('Coach Card'!F8=E9,"X","")</f>
        <v/>
      </c>
      <c r="E9" s="362" t="s">
        <v>1330</v>
      </c>
      <c r="F9" s="364"/>
      <c r="G9" s="69" t="str">
        <f>IF('Coach Card'!F8=H9,"X","")</f>
        <v/>
      </c>
      <c r="H9" s="205" t="s">
        <v>3</v>
      </c>
      <c r="I9" s="69" t="str">
        <f>IF('Coach Card'!F8=J9,"X","")</f>
        <v/>
      </c>
      <c r="J9" s="362" t="s">
        <v>1332</v>
      </c>
      <c r="K9" s="364"/>
      <c r="L9" s="69" t="str">
        <f>IF('Coach Card'!F8=M9,"X","")</f>
        <v/>
      </c>
      <c r="M9" s="362" t="s">
        <v>10</v>
      </c>
      <c r="N9" s="363"/>
      <c r="O9" s="363"/>
      <c r="P9" s="393"/>
      <c r="Q9" s="394"/>
      <c r="R9" s="394"/>
      <c r="S9" s="394"/>
      <c r="T9" s="395"/>
    </row>
    <row r="10" spans="1:24" ht="18" customHeight="1" x14ac:dyDescent="0.35">
      <c r="A10" s="377"/>
      <c r="B10" s="378"/>
      <c r="C10" s="379"/>
      <c r="D10" s="69" t="str">
        <f>IF('Coach Card'!F8=E10,"X","")</f>
        <v/>
      </c>
      <c r="E10" s="362" t="s">
        <v>1331</v>
      </c>
      <c r="F10" s="364"/>
      <c r="G10" s="69" t="str">
        <f>IF('Coach Card'!F8=H10,"X","")</f>
        <v/>
      </c>
      <c r="H10" s="205" t="s">
        <v>9</v>
      </c>
      <c r="I10" s="69" t="str">
        <f>IF('Coach Card'!F8=J10,"X","")</f>
        <v/>
      </c>
      <c r="J10" s="362" t="s">
        <v>1333</v>
      </c>
      <c r="K10" s="364"/>
      <c r="L10" s="69" t="str">
        <f>IF('Coach Card'!F8=M10,"X","")</f>
        <v/>
      </c>
      <c r="M10" s="362" t="s">
        <v>11</v>
      </c>
      <c r="N10" s="363"/>
      <c r="O10" s="363"/>
      <c r="P10" s="393"/>
      <c r="Q10" s="394"/>
      <c r="R10" s="394"/>
      <c r="S10" s="394"/>
      <c r="T10" s="395"/>
    </row>
    <row r="11" spans="1:24" ht="18" customHeight="1" x14ac:dyDescent="0.35">
      <c r="A11" s="380"/>
      <c r="B11" s="381"/>
      <c r="C11" s="382"/>
      <c r="D11" s="69" t="str">
        <f>IF('Coach Card'!F8=E11,"X","")</f>
        <v/>
      </c>
      <c r="E11" s="362" t="s">
        <v>1334</v>
      </c>
      <c r="F11" s="364"/>
      <c r="G11" s="69" t="str">
        <f>IF('Coach Card'!F8=H11,"X","")</f>
        <v/>
      </c>
      <c r="H11" s="205" t="s">
        <v>1335</v>
      </c>
      <c r="I11" s="69" t="str">
        <f>IF('Coach Card'!F8=J11,"X","")</f>
        <v/>
      </c>
      <c r="J11" s="362" t="s">
        <v>1337</v>
      </c>
      <c r="K11" s="364"/>
      <c r="L11" s="69" t="str">
        <f>IF('Coach Card'!F8=M11,"X","")</f>
        <v/>
      </c>
      <c r="M11" s="362" t="s">
        <v>1336</v>
      </c>
      <c r="N11" s="363"/>
      <c r="O11" s="363"/>
      <c r="P11" s="396"/>
      <c r="Q11" s="397"/>
      <c r="R11" s="397"/>
      <c r="S11" s="397"/>
      <c r="T11" s="398"/>
    </row>
    <row r="12" spans="1:24" ht="33" customHeight="1" x14ac:dyDescent="0.35">
      <c r="A12" s="373" t="s">
        <v>605</v>
      </c>
      <c r="B12" s="374"/>
      <c r="C12" s="375"/>
      <c r="D12" s="68"/>
      <c r="E12" s="350" t="str">
        <f>IF('Coach Card'!N6&lt;&gt;"",'Coach Card'!N6,"")</f>
        <v/>
      </c>
      <c r="F12" s="350"/>
      <c r="G12" s="350"/>
      <c r="H12" s="350"/>
      <c r="I12" s="350"/>
      <c r="J12" s="350"/>
      <c r="K12" s="350"/>
      <c r="L12" s="350"/>
      <c r="M12" s="350"/>
      <c r="N12" s="350"/>
      <c r="O12" s="350"/>
      <c r="P12" s="360"/>
      <c r="Q12" s="360"/>
      <c r="R12" s="360"/>
      <c r="S12" s="360"/>
      <c r="T12" s="361"/>
    </row>
    <row r="13" spans="1:24" ht="33" customHeight="1" x14ac:dyDescent="0.35">
      <c r="A13" s="373" t="s">
        <v>606</v>
      </c>
      <c r="B13" s="374"/>
      <c r="C13" s="375"/>
      <c r="D13" s="68"/>
      <c r="E13" s="350" t="str">
        <f>IF('Coach Card'!F9&lt;&gt;"",'Coach Card'!F9,"")</f>
        <v/>
      </c>
      <c r="F13" s="350"/>
      <c r="G13" s="350"/>
      <c r="H13" s="350"/>
      <c r="I13" s="350"/>
      <c r="J13" s="350"/>
      <c r="K13" s="350"/>
      <c r="L13" s="350"/>
      <c r="M13" s="350"/>
      <c r="N13" s="350"/>
      <c r="O13" s="350"/>
      <c r="P13" s="350"/>
      <c r="Q13" s="350"/>
      <c r="R13" s="350"/>
      <c r="S13" s="350"/>
      <c r="T13" s="351"/>
    </row>
    <row r="14" spans="1:24" ht="20.149999999999999" customHeight="1" x14ac:dyDescent="0.35">
      <c r="A14" s="352" t="s">
        <v>607</v>
      </c>
      <c r="B14" s="353"/>
      <c r="C14" s="353"/>
      <c r="D14" s="353"/>
      <c r="E14" s="353"/>
      <c r="F14" s="353"/>
      <c r="G14" s="353"/>
      <c r="H14" s="353"/>
      <c r="I14" s="353"/>
      <c r="J14" s="353"/>
      <c r="K14" s="353"/>
      <c r="L14" s="353"/>
      <c r="M14" s="353"/>
      <c r="N14" s="353"/>
      <c r="O14" s="353"/>
      <c r="P14" s="353"/>
      <c r="Q14" s="353"/>
      <c r="R14" s="353"/>
      <c r="S14" s="353"/>
      <c r="T14" s="354"/>
    </row>
    <row r="15" spans="1:24" ht="23.25" customHeight="1" x14ac:dyDescent="0.35">
      <c r="A15" s="215" t="s">
        <v>608</v>
      </c>
      <c r="B15" s="215" t="s">
        <v>609</v>
      </c>
      <c r="C15" s="355" t="s">
        <v>610</v>
      </c>
      <c r="D15" s="376"/>
      <c r="E15" s="215" t="s">
        <v>611</v>
      </c>
      <c r="F15" s="355" t="s">
        <v>612</v>
      </c>
      <c r="G15" s="356"/>
      <c r="H15" s="356"/>
      <c r="I15" s="356"/>
      <c r="J15" s="356"/>
      <c r="K15" s="356"/>
      <c r="L15" s="356"/>
      <c r="M15" s="356"/>
      <c r="N15" s="356"/>
      <c r="O15" s="356"/>
      <c r="P15" s="356"/>
      <c r="Q15" s="357"/>
      <c r="R15" s="216" t="str">
        <f>IF('Coach Card'!AN16&lt;&gt;"","HYBRID BONUS","")</f>
        <v/>
      </c>
      <c r="S15" s="204" t="s">
        <v>613</v>
      </c>
      <c r="T15" s="217" t="s">
        <v>629</v>
      </c>
    </row>
    <row r="16" spans="1:24" ht="22" customHeight="1" x14ac:dyDescent="0.35">
      <c r="A16" s="108" t="str">
        <f>IFERROR(IF('Coach Card'!D19&lt;&gt;"",IF('Coach Card'!C19&lt;&gt;"",CONCATENATE("0",'Coach Card'!A19,":",IF('Coach Card'!B19&lt;10,CONCATENATE("0",'Coach Card'!B19),'Coach Card'!B19)," - 0",'Coach Card'!C19,":",IF('Coach Card'!D19&lt;10,CONCATENATE("0",'Coach Card'!D19),'Coach Card'!D19)),""),""),"")</f>
        <v/>
      </c>
      <c r="B16" s="108" t="str">
        <f ca="1">IF(OFFSET('Coach Card'!$F$17,U16,0)="Transition","Transition",IF(OFFSET('Coach Card'!$F$17,U16,0)="Transition - Surface Connection","SuCon",IF(OFFSET('Coach Card'!$F$17,U16,0)="Hybrid - Thrust + 2 connections","Req.Hybrid",IF(LEFT(OFFSET('Coach Card'!$F$17,U16,0),4)="Hybr","Hybrid",IF(LEFT(OFFSET('Coach Card'!$F$17,U16,0),4)="Acro",IF(RIGHT(OFFSET('Coach Card'!$F$17,U16,0),4)="Pair","Pair Acro","Acrobatic"),IF(LEFT(OFFSET('Coach Card'!$F$17,U16,0),4)="Tech","TRE",""))))))</f>
        <v/>
      </c>
      <c r="C16" s="358" t="str">
        <f ca="1">IF(OFFSET('Coach Card'!$G$17,U16,0)&gt;0,OFFSET('Coach Card'!$G$17,U16,0),"")</f>
        <v/>
      </c>
      <c r="D16" s="359"/>
      <c r="E16" s="108" t="str">
        <f ca="1">IF(OFFSET('Coach Card'!$H$17,U16,0)&gt;0,IF(OR(B16="Transition",F16="ChoHY",B16="SuCon"),"",OFFSET('Coach Card'!$H$17,U16,0)),"")</f>
        <v/>
      </c>
      <c r="F16" s="347" t="str">
        <f ca="1">IF(B16="SuCon","SuCon",CONCATENATE(IF(B16="Acrobatic",CONCATENATE(RIGHT(OFFSET('Coach Card'!$H$18,U16,0),1),V16),""),OFFSET('Coach Card'!$J$17,U16,0),IF(OFFSET('Coach Card'!$K$17,U16,0)&lt;&gt;"",V16,""),OFFSET('Coach Card'!$K$17,U16,0),IF(OFFSET('Coach Card'!$L$17,U16,0)&lt;&gt;"",V16,""),OFFSET('Coach Card'!$L$17,U16,0),IF(OFFSET('Coach Card'!$M$17,U16,0)&lt;&gt;"",V16,""),OFFSET('Coach Card'!$M$17,U16,0),IF(OFFSET('Coach Card'!$N$17,U16,0)&lt;&gt;"",IF(AND(LEFT(OFFSET('Coach Card'!$N$17,U16,0),1)="2",B16="Acrobatic"),"/",V16),""),OFFSET('Coach Card'!$N$17,U16,0),IF(OFFSET('Coach Card'!$O$17,U16,0)&lt;&gt;"",IF(AND(LEFT(OFFSET('Coach Card'!$O$17,U16,0),1)="2",B16="Acrobatic"),"/",V16),""),OFFSET('Coach Card'!$O$17,U16,0),IF(OFFSET('Coach Card'!$P$17,U16,0)&lt;&gt;"",V16,""),OFFSET('Coach Card'!$P$17,U16,0),IF(OFFSET('Coach Card'!$Q$17,U16,0)&lt;&gt;"",IF(LEFT(B16,4)="Acro"," + ",V16),""),OFFSET('Coach Card'!$Q$17,U16,0),IF(OFFSET('Coach Card'!$R$17,U16,0)&lt;&gt;"",IF(LEFT(B16,4)="Acro","/",V16),""),OFFSET('Coach Card'!$R$17,U16,0),IF(OFFSET('Coach Card'!$S$17,U16,0)&lt;&gt;"",V16,""),OFFSET('Coach Card'!$S$17,U16,0),IF(OFFSET('Coach Card'!$T$17,U16,0)&lt;&gt;"",V16,""),OFFSET('Coach Card'!$T$17,U16,0),IF(OFFSET('Coach Card'!$U$17,U16,0)&lt;&gt;"",V16,""),OFFSET('Coach Card'!$U$17,U16,0),IF(OFFSET('Coach Card'!$V$17,U16,0)&lt;&gt;"",V16,""),OFFSET('Coach Card'!$V$17,U16,0),IF(OFFSET('Coach Card'!$W$17,U16,0)&lt;&gt;"",V16,""),OFFSET('Coach Card'!$W$17,U16,0),IF(OFFSET('Coach Card'!$X$17,U16,0)&lt;&gt;"",V16,""),OFFSET('Coach Card'!$X$17,U16,0),IF(OFFSET('Coach Card'!$Y$17,U16,0)&lt;&gt;"",V16,""),OFFSET('Coach Card'!$Y$17,U16,0),IF(OFFSET('Coach Card'!$Z$17,U16,0)&lt;&gt;"",V16,""),OFFSET('Coach Card'!$Z$17,U16,0),IF(OFFSET('Coach Card'!$AA$17,U16,0)&lt;&gt;"",V16,""),OFFSET('Coach Card'!$AA$17,U16,0),IF(OFFSET('Coach Card'!$AB$17,U16,0)&lt;&gt;"",V16,""),OFFSET('Coach Card'!$AB$17,U16,0),IF(OFFSET('Coach Card'!$AC$17,U16,0)&lt;&gt;"",V16,""),OFFSET('Coach Card'!$AC$17,U16,0),IF(OFFSET('Coach Card'!$AD$17,U16,0)&lt;&gt;"",V16,""),OFFSET('Coach Card'!$AD$17,U16,0),IF(OFFSET('Coach Card'!$AE$17,U16,0)&lt;&gt;"",V16,""),OFFSET('Coach Card'!$AE$17,U16,0),IF(OFFSET('Coach Card'!$AF$17,U16,0)&lt;&gt;"",V16,""),OFFSET('Coach Card'!$AF$17,U16,0),IF(OFFSET('Coach Card'!$AG$17,U16,0)&lt;&gt;"",V16,""),OFFSET('Coach Card'!$AG$17,U16,0),IF(OFFSET('Coach Card'!$AH$17,U16,0)&lt;&gt;"",V16,""),OFFSET('Coach Card'!$AH$17,U16,0),IF(OFFSET('Coach Card'!$AI$17,U16,0)&lt;&gt;"",V16,""),OFFSET('Coach Card'!$AI$17,U16,0),IF(OFFSET('Coach Card'!$AJ$17,U16,0)&lt;&gt;"",V16,""),OFFSET('Coach Card'!$AJ$17,U16,0),IF(OFFSET('Coach Card'!$AK$17,U16,0)&lt;&gt;"",V16,""),OFFSET('Coach Card'!$AK$17,U16,0),IF(OFFSET('Coach Card'!$AL$17,U16,0)&lt;&gt;"",V16,""),OFFSET('Coach Card'!$AL$17,U16,0),IF(OFFSET('Coach Card'!$AM$17,U16,0)&lt;&gt;"",V16,""),OFFSET('Coach Card'!$AM$17,U16,0)))</f>
        <v/>
      </c>
      <c r="G16" s="348"/>
      <c r="H16" s="348"/>
      <c r="I16" s="348"/>
      <c r="J16" s="348"/>
      <c r="K16" s="348"/>
      <c r="L16" s="348"/>
      <c r="M16" s="348"/>
      <c r="N16" s="348"/>
      <c r="O16" s="348"/>
      <c r="P16" s="348"/>
      <c r="Q16" s="349"/>
      <c r="R16" s="173" t="str">
        <f ca="1">IF(OR(LEFT(B16,4)="Acro",LEFT(B16,1)="T",LEFT(B16,1)=""),"",IF(OFFSET('Coach Card'!$AN$17,U16,0)="","",OFFSET('Coach Card'!$AN$17,U16,0)))</f>
        <v/>
      </c>
      <c r="S16" s="174" t="str">
        <f ca="1">IF(OFFSET('Coach Card'!$AO$18,U16,0)=0,"",OFFSET('Coach Card'!$AO$18,U16,0))</f>
        <v/>
      </c>
      <c r="T16" s="194"/>
      <c r="U16" s="221">
        <v>2</v>
      </c>
      <c r="V16" s="125" t="str">
        <f ca="1">IF(OFFSET('Coach Card'!$W$17,U16,0)&lt;&gt;"","-"," - ")</f>
        <v xml:space="preserve"> - </v>
      </c>
      <c r="W16" s="125">
        <v>0</v>
      </c>
      <c r="X16" s="125" t="str">
        <f ca="1">IF(OFFSET('Coach Card'!$BA$19,W16,0)="X","X","")</f>
        <v/>
      </c>
    </row>
    <row r="17" spans="1:24" ht="22" customHeight="1" x14ac:dyDescent="0.35">
      <c r="A17" s="108" t="str">
        <f>IFERROR(IF('Coach Card'!D21&lt;&gt;"",IF('Coach Card'!C21&lt;&gt;"",CONCATENATE("0",'Coach Card'!A21,":",IF('Coach Card'!B21&lt;10,CONCATENATE("0",'Coach Card'!B21),'Coach Card'!B21)," - 0",'Coach Card'!C21,":",IF('Coach Card'!D21&lt;10,CONCATENATE("0",'Coach Card'!D21),'Coach Card'!D21)),""),""),"")</f>
        <v/>
      </c>
      <c r="B17" s="108" t="str">
        <f ca="1">IF(OFFSET('Coach Card'!$F$17,U17,0)="Transition","Transition",IF(OFFSET('Coach Card'!$F$17,U17,0)="Transition - Surface Connection","SuCon",IF(OFFSET('Coach Card'!$F$17,U17,0)="Hybrid - Thrust + 2 connections","Req.Hybrid",IF(LEFT(OFFSET('Coach Card'!$F$17,U17,0),4)="Hybr","Hybrid",IF(LEFT(OFFSET('Coach Card'!$F$17,U17,0),4)="Acro",IF(RIGHT(OFFSET('Coach Card'!$F$17,U17,0),4)="Pair","Pair Acro","Acrobatic"),IF(LEFT(OFFSET('Coach Card'!$F$17,U17,0),4)="Tech","TRE",""))))))</f>
        <v/>
      </c>
      <c r="C17" s="358" t="str">
        <f ca="1">IF(OFFSET('Coach Card'!$G$17,U17,0)&gt;0,OFFSET('Coach Card'!$G$17,U17,0),"")</f>
        <v/>
      </c>
      <c r="D17" s="359"/>
      <c r="E17" s="108" t="str">
        <f ca="1">IF(OFFSET('Coach Card'!$H$17,U17,0)&gt;0,IF(OR(B17="Transition",F17="ChoHY",B17="SuCon"),"",OFFSET('Coach Card'!$H$17,U17,0)),"")</f>
        <v/>
      </c>
      <c r="F17" s="347" t="str">
        <f ca="1">IF(B17="SuCon","SuCon",CONCATENATE(IF(B17="Acrobatic",CONCATENATE(RIGHT(OFFSET('Coach Card'!$H$18,U17,0),1),V17),""),OFFSET('Coach Card'!$J$17,U17,0),IF(OFFSET('Coach Card'!$K$17,U17,0)&lt;&gt;"",V17,""),OFFSET('Coach Card'!$K$17,U17,0),IF(OFFSET('Coach Card'!$L$17,U17,0)&lt;&gt;"",V17,""),OFFSET('Coach Card'!$L$17,U17,0),IF(OFFSET('Coach Card'!$M$17,U17,0)&lt;&gt;"",V17,""),OFFSET('Coach Card'!$M$17,U17,0),IF(OFFSET('Coach Card'!$N$17,U17,0)&lt;&gt;"",IF(AND(LEFT(OFFSET('Coach Card'!$N$17,U17,0),1)="2",B17="Acrobatic"),"/",V17),""),OFFSET('Coach Card'!$N$17,U17,0),IF(OFFSET('Coach Card'!$O$17,U17,0)&lt;&gt;"",IF(AND(LEFT(OFFSET('Coach Card'!$O$17,U17,0),1)="2",B17="Acrobatic"),"/",V17),""),OFFSET('Coach Card'!$O$17,U17,0),IF(OFFSET('Coach Card'!$P$17,U17,0)&lt;&gt;"",V17,""),OFFSET('Coach Card'!$P$17,U17,0),IF(OFFSET('Coach Card'!$Q$17,U17,0)&lt;&gt;"",IF(LEFT(B17,4)="Acro"," + ",V17),""),OFFSET('Coach Card'!$Q$17,U17,0),IF(OFFSET('Coach Card'!$R$17,U17,0)&lt;&gt;"",IF(LEFT(B17,4)="Acro","/",V17),""),OFFSET('Coach Card'!$R$17,U17,0),IF(OFFSET('Coach Card'!$S$17,U17,0)&lt;&gt;"",V17,""),OFFSET('Coach Card'!$S$17,U17,0),IF(OFFSET('Coach Card'!$T$17,U17,0)&lt;&gt;"",V17,""),OFFSET('Coach Card'!$T$17,U17,0),IF(OFFSET('Coach Card'!$U$17,U17,0)&lt;&gt;"",V17,""),OFFSET('Coach Card'!$U$17,U17,0),IF(OFFSET('Coach Card'!$V$17,U17,0)&lt;&gt;"",V17,""),OFFSET('Coach Card'!$V$17,U17,0),IF(OFFSET('Coach Card'!$W$17,U17,0)&lt;&gt;"",V17,""),OFFSET('Coach Card'!$W$17,U17,0),IF(OFFSET('Coach Card'!$X$17,U17,0)&lt;&gt;"",V17,""),OFFSET('Coach Card'!$X$17,U17,0),IF(OFFSET('Coach Card'!$Y$17,U17,0)&lt;&gt;"",V17,""),OFFSET('Coach Card'!$Y$17,U17,0),IF(OFFSET('Coach Card'!$Z$17,U17,0)&lt;&gt;"",V17,""),OFFSET('Coach Card'!$Z$17,U17,0),IF(OFFSET('Coach Card'!$AA$17,U17,0)&lt;&gt;"",V17,""),OFFSET('Coach Card'!$AA$17,U17,0),IF(OFFSET('Coach Card'!$AB$17,U17,0)&lt;&gt;"",V17,""),OFFSET('Coach Card'!$AB$17,U17,0),IF(OFFSET('Coach Card'!$AC$17,U17,0)&lt;&gt;"",V17,""),OFFSET('Coach Card'!$AC$17,U17,0),IF(OFFSET('Coach Card'!$AD$17,U17,0)&lt;&gt;"",V17,""),OFFSET('Coach Card'!$AD$17,U17,0),IF(OFFSET('Coach Card'!$AE$17,U17,0)&lt;&gt;"",V17,""),OFFSET('Coach Card'!$AE$17,U17,0),IF(OFFSET('Coach Card'!$AF$17,U17,0)&lt;&gt;"",V17,""),OFFSET('Coach Card'!$AF$17,U17,0),IF(OFFSET('Coach Card'!$AG$17,U17,0)&lt;&gt;"",V17,""),OFFSET('Coach Card'!$AG$17,U17,0),IF(OFFSET('Coach Card'!$AH$17,U17,0)&lt;&gt;"",V17,""),OFFSET('Coach Card'!$AH$17,U17,0),IF(OFFSET('Coach Card'!$AI$17,U17,0)&lt;&gt;"",V17,""),OFFSET('Coach Card'!$AI$17,U17,0),IF(OFFSET('Coach Card'!$AJ$17,U17,0)&lt;&gt;"",V17,""),OFFSET('Coach Card'!$AJ$17,U17,0),IF(OFFSET('Coach Card'!$AK$17,U17,0)&lt;&gt;"",V17,""),OFFSET('Coach Card'!$AK$17,U17,0),IF(OFFSET('Coach Card'!$AL$17,U17,0)&lt;&gt;"",V17,""),OFFSET('Coach Card'!$AL$17,U17,0),IF(OFFSET('Coach Card'!$AM$17,U17,0)&lt;&gt;"",V17,""),OFFSET('Coach Card'!$AM$17,U17,0)))</f>
        <v/>
      </c>
      <c r="G17" s="348"/>
      <c r="H17" s="348"/>
      <c r="I17" s="348"/>
      <c r="J17" s="348"/>
      <c r="K17" s="348"/>
      <c r="L17" s="348"/>
      <c r="M17" s="348"/>
      <c r="N17" s="348"/>
      <c r="O17" s="348"/>
      <c r="P17" s="348"/>
      <c r="Q17" s="349"/>
      <c r="R17" s="173" t="str">
        <f ca="1">IF(OR(LEFT(B17,4)="Acro",LEFT(B17,1)="T",LEFT(B17,1)=""),"",IF(OFFSET('Coach Card'!$AN$17,U17,0)="","",OFFSET('Coach Card'!$AN$17,U17,0)))</f>
        <v/>
      </c>
      <c r="S17" s="174" t="str">
        <f ca="1">IF(OFFSET('Coach Card'!$AO$18,U17,0)=0,"",OFFSET('Coach Card'!$AO$18,U17,0))</f>
        <v/>
      </c>
      <c r="T17" s="194"/>
      <c r="U17" s="221">
        <v>4</v>
      </c>
      <c r="V17" s="125" t="str">
        <f ca="1">IF(OFFSET('Coach Card'!$W$17,U17,0)&lt;&gt;"","-"," - ")</f>
        <v xml:space="preserve"> - </v>
      </c>
      <c r="W17" s="125">
        <v>2</v>
      </c>
      <c r="X17" s="125" t="str">
        <f ca="1">IF(OFFSET('Coach Card'!$BA$19,W17,0)="X","X","")</f>
        <v/>
      </c>
    </row>
    <row r="18" spans="1:24" ht="22" customHeight="1" x14ac:dyDescent="0.35">
      <c r="A18" s="108" t="str">
        <f>IFERROR(IF('Coach Card'!D23&lt;&gt;"",IF('Coach Card'!C23&lt;&gt;"",CONCATENATE("0",'Coach Card'!A23,":",IF('Coach Card'!B23&lt;10,CONCATENATE("0",'Coach Card'!B23),'Coach Card'!B23)," - 0",'Coach Card'!C23,":",IF('Coach Card'!D23&lt;10,CONCATENATE("0",'Coach Card'!D23),'Coach Card'!D23)),""),""),"")</f>
        <v/>
      </c>
      <c r="B18" s="108" t="str">
        <f ca="1">IF(OFFSET('Coach Card'!$F$17,U18,0)="Transition","Transition",IF(OFFSET('Coach Card'!$F$17,U18,0)="Transition - Surface Connection","SuCon",IF(OFFSET('Coach Card'!$F$17,U18,0)="Hybrid - Thrust + 2 connections","Req.Hybrid",IF(LEFT(OFFSET('Coach Card'!$F$17,U18,0),4)="Hybr","Hybrid",IF(LEFT(OFFSET('Coach Card'!$F$17,U18,0),4)="Acro",IF(RIGHT(OFFSET('Coach Card'!$F$17,U18,0),4)="Pair","Pair Acro","Acrobatic"),IF(LEFT(OFFSET('Coach Card'!$F$17,U18,0),4)="Tech","TRE",""))))))</f>
        <v/>
      </c>
      <c r="C18" s="358" t="str">
        <f ca="1">IF(OFFSET('Coach Card'!$G$17,U18,0)&gt;0,OFFSET('Coach Card'!$G$17,U18,0),"")</f>
        <v/>
      </c>
      <c r="D18" s="359"/>
      <c r="E18" s="108" t="str">
        <f ca="1">IF(OFFSET('Coach Card'!$H$17,U18,0)&gt;0,IF(OR(B18="Transition",F18="ChoHY",B18="SuCon"),"",OFFSET('Coach Card'!$H$17,U18,0)),"")</f>
        <v/>
      </c>
      <c r="F18" s="347" t="str">
        <f ca="1">IF(B18="SuCon","SuCon",CONCATENATE(IF(B18="Acrobatic",CONCATENATE(RIGHT(OFFSET('Coach Card'!$H$18,U18,0),1),V18),""),OFFSET('Coach Card'!$J$17,U18,0),IF(OFFSET('Coach Card'!$K$17,U18,0)&lt;&gt;"",V18,""),OFFSET('Coach Card'!$K$17,U18,0),IF(OFFSET('Coach Card'!$L$17,U18,0)&lt;&gt;"",V18,""),OFFSET('Coach Card'!$L$17,U18,0),IF(OFFSET('Coach Card'!$M$17,U18,0)&lt;&gt;"",V18,""),OFFSET('Coach Card'!$M$17,U18,0),IF(OFFSET('Coach Card'!$N$17,U18,0)&lt;&gt;"",IF(AND(LEFT(OFFSET('Coach Card'!$N$17,U18,0),1)="2",B18="Acrobatic"),"/",V18),""),OFFSET('Coach Card'!$N$17,U18,0),IF(OFFSET('Coach Card'!$O$17,U18,0)&lt;&gt;"",IF(AND(LEFT(OFFSET('Coach Card'!$O$17,U18,0),1)="2",B18="Acrobatic"),"/",V18),""),OFFSET('Coach Card'!$O$17,U18,0),IF(OFFSET('Coach Card'!$P$17,U18,0)&lt;&gt;"",V18,""),OFFSET('Coach Card'!$P$17,U18,0),IF(OFFSET('Coach Card'!$Q$17,U18,0)&lt;&gt;"",IF(LEFT(B18,4)="Acro"," + ",V18),""),OFFSET('Coach Card'!$Q$17,U18,0),IF(OFFSET('Coach Card'!$R$17,U18,0)&lt;&gt;"",IF(LEFT(B18,4)="Acro","/",V18),""),OFFSET('Coach Card'!$R$17,U18,0),IF(OFFSET('Coach Card'!$S$17,U18,0)&lt;&gt;"",V18,""),OFFSET('Coach Card'!$S$17,U18,0),IF(OFFSET('Coach Card'!$T$17,U18,0)&lt;&gt;"",V18,""),OFFSET('Coach Card'!$T$17,U18,0),IF(OFFSET('Coach Card'!$U$17,U18,0)&lt;&gt;"",V18,""),OFFSET('Coach Card'!$U$17,U18,0),IF(OFFSET('Coach Card'!$V$17,U18,0)&lt;&gt;"",V18,""),OFFSET('Coach Card'!$V$17,U18,0),IF(OFFSET('Coach Card'!$W$17,U18,0)&lt;&gt;"",V18,""),OFFSET('Coach Card'!$W$17,U18,0),IF(OFFSET('Coach Card'!$X$17,U18,0)&lt;&gt;"",V18,""),OFFSET('Coach Card'!$X$17,U18,0),IF(OFFSET('Coach Card'!$Y$17,U18,0)&lt;&gt;"",V18,""),OFFSET('Coach Card'!$Y$17,U18,0),IF(OFFSET('Coach Card'!$Z$17,U18,0)&lt;&gt;"",V18,""),OFFSET('Coach Card'!$Z$17,U18,0),IF(OFFSET('Coach Card'!$AA$17,U18,0)&lt;&gt;"",V18,""),OFFSET('Coach Card'!$AA$17,U18,0),IF(OFFSET('Coach Card'!$AB$17,U18,0)&lt;&gt;"",V18,""),OFFSET('Coach Card'!$AB$17,U18,0),IF(OFFSET('Coach Card'!$AC$17,U18,0)&lt;&gt;"",V18,""),OFFSET('Coach Card'!$AC$17,U18,0),IF(OFFSET('Coach Card'!$AD$17,U18,0)&lt;&gt;"",V18,""),OFFSET('Coach Card'!$AD$17,U18,0),IF(OFFSET('Coach Card'!$AE$17,U18,0)&lt;&gt;"",V18,""),OFFSET('Coach Card'!$AE$17,U18,0),IF(OFFSET('Coach Card'!$AF$17,U18,0)&lt;&gt;"",V18,""),OFFSET('Coach Card'!$AF$17,U18,0),IF(OFFSET('Coach Card'!$AG$17,U18,0)&lt;&gt;"",V18,""),OFFSET('Coach Card'!$AG$17,U18,0),IF(OFFSET('Coach Card'!$AH$17,U18,0)&lt;&gt;"",V18,""),OFFSET('Coach Card'!$AH$17,U18,0),IF(OFFSET('Coach Card'!$AI$17,U18,0)&lt;&gt;"",V18,""),OFFSET('Coach Card'!$AI$17,U18,0),IF(OFFSET('Coach Card'!$AJ$17,U18,0)&lt;&gt;"",V18,""),OFFSET('Coach Card'!$AJ$17,U18,0),IF(OFFSET('Coach Card'!$AK$17,U18,0)&lt;&gt;"",V18,""),OFFSET('Coach Card'!$AK$17,U18,0),IF(OFFSET('Coach Card'!$AL$17,U18,0)&lt;&gt;"",V18,""),OFFSET('Coach Card'!$AL$17,U18,0),IF(OFFSET('Coach Card'!$AM$17,U18,0)&lt;&gt;"",V18,""),OFFSET('Coach Card'!$AM$17,U18,0)))</f>
        <v/>
      </c>
      <c r="G18" s="348"/>
      <c r="H18" s="348"/>
      <c r="I18" s="348"/>
      <c r="J18" s="348"/>
      <c r="K18" s="348"/>
      <c r="L18" s="348"/>
      <c r="M18" s="348"/>
      <c r="N18" s="348"/>
      <c r="O18" s="348"/>
      <c r="P18" s="348"/>
      <c r="Q18" s="349"/>
      <c r="R18" s="173" t="str">
        <f ca="1">IF(OR(LEFT(B18,4)="Acro",LEFT(B18,1)="T",LEFT(B18,1)=""),"",IF(OFFSET('Coach Card'!$AN$17,U18,0)="","",OFFSET('Coach Card'!$AN$17,U18,0)))</f>
        <v/>
      </c>
      <c r="S18" s="174" t="str">
        <f ca="1">IF(OFFSET('Coach Card'!$AO$18,U18,0)=0,"",OFFSET('Coach Card'!$AO$18,U18,0))</f>
        <v/>
      </c>
      <c r="T18" s="194"/>
      <c r="U18" s="221">
        <v>6</v>
      </c>
      <c r="V18" s="125" t="str">
        <f ca="1">IF(OFFSET('Coach Card'!$W$17,U18,0)&lt;&gt;"","-"," - ")</f>
        <v xml:space="preserve"> - </v>
      </c>
      <c r="W18" s="125">
        <v>4</v>
      </c>
      <c r="X18" s="125" t="str">
        <f ca="1">IF(OFFSET('Coach Card'!$BA$19,W18,0)="X","X","")</f>
        <v/>
      </c>
    </row>
    <row r="19" spans="1:24" ht="22" customHeight="1" x14ac:dyDescent="0.35">
      <c r="A19" s="108" t="str">
        <f>IFERROR(IF('Coach Card'!D25&lt;&gt;"",IF('Coach Card'!C25&lt;&gt;"",CONCATENATE("0",'Coach Card'!A25,":",IF('Coach Card'!B25&lt;10,CONCATENATE("0",'Coach Card'!B25),'Coach Card'!B25)," - 0",'Coach Card'!C25,":",IF('Coach Card'!D25&lt;10,CONCATENATE("0",'Coach Card'!D25),'Coach Card'!D25)),""),""),"")</f>
        <v/>
      </c>
      <c r="B19" s="108" t="str">
        <f ca="1">IF(OFFSET('Coach Card'!$F$17,U19,0)="Transition","Transition",IF(OFFSET('Coach Card'!$F$17,U19,0)="Transition - Surface Connection","SuCon",IF(OFFSET('Coach Card'!$F$17,U19,0)="Hybrid - Thrust + 2 connections","Req.Hybrid",IF(LEFT(OFFSET('Coach Card'!$F$17,U19,0),4)="Hybr","Hybrid",IF(LEFT(OFFSET('Coach Card'!$F$17,U19,0),4)="Acro",IF(RIGHT(OFFSET('Coach Card'!$F$17,U19,0),4)="Pair","Pair Acro","Acrobatic"),IF(LEFT(OFFSET('Coach Card'!$F$17,U19,0),4)="Tech","TRE",""))))))</f>
        <v/>
      </c>
      <c r="C19" s="358" t="str">
        <f ca="1">IF(OFFSET('Coach Card'!$G$17,U19,0)&gt;0,OFFSET('Coach Card'!$G$17,U19,0),"")</f>
        <v/>
      </c>
      <c r="D19" s="359"/>
      <c r="E19" s="108" t="str">
        <f ca="1">IF(OFFSET('Coach Card'!$H$17,U19,0)&gt;0,IF(OR(B19="Transition",F19="ChoHY",B19="SuCon"),"",OFFSET('Coach Card'!$H$17,U19,0)),"")</f>
        <v/>
      </c>
      <c r="F19" s="347" t="str">
        <f ca="1">IF(B19="SuCon","SuCon",CONCATENATE(IF(B19="Acrobatic",CONCATENATE(RIGHT(OFFSET('Coach Card'!$H$18,U19,0),1),V19),""),OFFSET('Coach Card'!$J$17,U19,0),IF(OFFSET('Coach Card'!$K$17,U19,0)&lt;&gt;"",V19,""),OFFSET('Coach Card'!$K$17,U19,0),IF(OFFSET('Coach Card'!$L$17,U19,0)&lt;&gt;"",V19,""),OFFSET('Coach Card'!$L$17,U19,0),IF(OFFSET('Coach Card'!$M$17,U19,0)&lt;&gt;"",V19,""),OFFSET('Coach Card'!$M$17,U19,0),IF(OFFSET('Coach Card'!$N$17,U19,0)&lt;&gt;"",IF(AND(LEFT(OFFSET('Coach Card'!$N$17,U19,0),1)="2",B19="Acrobatic"),"/",V19),""),OFFSET('Coach Card'!$N$17,U19,0),IF(OFFSET('Coach Card'!$O$17,U19,0)&lt;&gt;"",IF(AND(LEFT(OFFSET('Coach Card'!$O$17,U19,0),1)="2",B19="Acrobatic"),"/",V19),""),OFFSET('Coach Card'!$O$17,U19,0),IF(OFFSET('Coach Card'!$P$17,U19,0)&lt;&gt;"",V19,""),OFFSET('Coach Card'!$P$17,U19,0),IF(OFFSET('Coach Card'!$Q$17,U19,0)&lt;&gt;"",IF(LEFT(B19,4)="Acro"," + ",V19),""),OFFSET('Coach Card'!$Q$17,U19,0),IF(OFFSET('Coach Card'!$R$17,U19,0)&lt;&gt;"",IF(LEFT(B19,4)="Acro","/",V19),""),OFFSET('Coach Card'!$R$17,U19,0),IF(OFFSET('Coach Card'!$S$17,U19,0)&lt;&gt;"",V19,""),OFFSET('Coach Card'!$S$17,U19,0),IF(OFFSET('Coach Card'!$T$17,U19,0)&lt;&gt;"",V19,""),OFFSET('Coach Card'!$T$17,U19,0),IF(OFFSET('Coach Card'!$U$17,U19,0)&lt;&gt;"",V19,""),OFFSET('Coach Card'!$U$17,U19,0),IF(OFFSET('Coach Card'!$V$17,U19,0)&lt;&gt;"",V19,""),OFFSET('Coach Card'!$V$17,U19,0),IF(OFFSET('Coach Card'!$W$17,U19,0)&lt;&gt;"",V19,""),OFFSET('Coach Card'!$W$17,U19,0),IF(OFFSET('Coach Card'!$X$17,U19,0)&lt;&gt;"",V19,""),OFFSET('Coach Card'!$X$17,U19,0),IF(OFFSET('Coach Card'!$Y$17,U19,0)&lt;&gt;"",V19,""),OFFSET('Coach Card'!$Y$17,U19,0),IF(OFFSET('Coach Card'!$Z$17,U19,0)&lt;&gt;"",V19,""),OFFSET('Coach Card'!$Z$17,U19,0),IF(OFFSET('Coach Card'!$AA$17,U19,0)&lt;&gt;"",V19,""),OFFSET('Coach Card'!$AA$17,U19,0),IF(OFFSET('Coach Card'!$AB$17,U19,0)&lt;&gt;"",V19,""),OFFSET('Coach Card'!$AB$17,U19,0),IF(OFFSET('Coach Card'!$AC$17,U19,0)&lt;&gt;"",V19,""),OFFSET('Coach Card'!$AC$17,U19,0),IF(OFFSET('Coach Card'!$AD$17,U19,0)&lt;&gt;"",V19,""),OFFSET('Coach Card'!$AD$17,U19,0),IF(OFFSET('Coach Card'!$AE$17,U19,0)&lt;&gt;"",V19,""),OFFSET('Coach Card'!$AE$17,U19,0),IF(OFFSET('Coach Card'!$AF$17,U19,0)&lt;&gt;"",V19,""),OFFSET('Coach Card'!$AF$17,U19,0),IF(OFFSET('Coach Card'!$AG$17,U19,0)&lt;&gt;"",V19,""),OFFSET('Coach Card'!$AG$17,U19,0),IF(OFFSET('Coach Card'!$AH$17,U19,0)&lt;&gt;"",V19,""),OFFSET('Coach Card'!$AH$17,U19,0),IF(OFFSET('Coach Card'!$AI$17,U19,0)&lt;&gt;"",V19,""),OFFSET('Coach Card'!$AI$17,U19,0),IF(OFFSET('Coach Card'!$AJ$17,U19,0)&lt;&gt;"",V19,""),OFFSET('Coach Card'!$AJ$17,U19,0),IF(OFFSET('Coach Card'!$AK$17,U19,0)&lt;&gt;"",V19,""),OFFSET('Coach Card'!$AK$17,U19,0),IF(OFFSET('Coach Card'!$AL$17,U19,0)&lt;&gt;"",V19,""),OFFSET('Coach Card'!$AL$17,U19,0),IF(OFFSET('Coach Card'!$AM$17,U19,0)&lt;&gt;"",V19,""),OFFSET('Coach Card'!$AM$17,U19,0)))</f>
        <v/>
      </c>
      <c r="G19" s="348"/>
      <c r="H19" s="348"/>
      <c r="I19" s="348"/>
      <c r="J19" s="348"/>
      <c r="K19" s="348"/>
      <c r="L19" s="348"/>
      <c r="M19" s="348"/>
      <c r="N19" s="348"/>
      <c r="O19" s="348"/>
      <c r="P19" s="348"/>
      <c r="Q19" s="349"/>
      <c r="R19" s="173" t="str">
        <f ca="1">IF(OR(LEFT(B19,4)="Acro",LEFT(B19,1)="T",LEFT(B19,1)=""),"",IF(OFFSET('Coach Card'!$AN$17,U19,0)="","",OFFSET('Coach Card'!$AN$17,U19,0)))</f>
        <v/>
      </c>
      <c r="S19" s="174" t="str">
        <f ca="1">IF(OFFSET('Coach Card'!$AO$18,U19,0)=0,"",OFFSET('Coach Card'!$AO$18,U19,0))</f>
        <v/>
      </c>
      <c r="T19" s="194"/>
      <c r="U19" s="221">
        <v>8</v>
      </c>
      <c r="V19" s="125" t="str">
        <f ca="1">IF(OFFSET('Coach Card'!$W$17,U19,0)&lt;&gt;"","-"," - ")</f>
        <v xml:space="preserve"> - </v>
      </c>
      <c r="W19" s="125">
        <v>6</v>
      </c>
      <c r="X19" s="125" t="str">
        <f ca="1">IF(OFFSET('Coach Card'!$BA$19,W19,0)="X","X","")</f>
        <v/>
      </c>
    </row>
    <row r="20" spans="1:24" ht="22" customHeight="1" x14ac:dyDescent="0.35">
      <c r="A20" s="108" t="str">
        <f>IFERROR(IF('Coach Card'!D27&lt;&gt;"",IF('Coach Card'!C27&lt;&gt;"",CONCATENATE("0",'Coach Card'!A27,":",IF('Coach Card'!B27&lt;10,CONCATENATE("0",'Coach Card'!B27),'Coach Card'!B27)," - 0",'Coach Card'!C27,":",IF('Coach Card'!D27&lt;10,CONCATENATE("0",'Coach Card'!D27),'Coach Card'!D27)),""),""),"")</f>
        <v/>
      </c>
      <c r="B20" s="108" t="str">
        <f ca="1">IF(OFFSET('Coach Card'!$F$17,U20,0)="Transition","Transition",IF(OFFSET('Coach Card'!$F$17,U20,0)="Transition - Surface Connection","SuCon",IF(OFFSET('Coach Card'!$F$17,U20,0)="Hybrid - Thrust + 2 connections","Req.Hybrid",IF(LEFT(OFFSET('Coach Card'!$F$17,U20,0),4)="Hybr","Hybrid",IF(LEFT(OFFSET('Coach Card'!$F$17,U20,0),4)="Acro",IF(RIGHT(OFFSET('Coach Card'!$F$17,U20,0),4)="Pair","Pair Acro","Acrobatic"),IF(LEFT(OFFSET('Coach Card'!$F$17,U20,0),4)="Tech","TRE",""))))))</f>
        <v/>
      </c>
      <c r="C20" s="358" t="str">
        <f ca="1">IF(OFFSET('Coach Card'!$G$17,U20,0)&gt;0,OFFSET('Coach Card'!$G$17,U20,0),"")</f>
        <v/>
      </c>
      <c r="D20" s="359"/>
      <c r="E20" s="108" t="str">
        <f ca="1">IF(OFFSET('Coach Card'!$H$17,U20,0)&gt;0,IF(OR(B20="Transition",F20="ChoHY",B20="SuCon"),"",OFFSET('Coach Card'!$H$17,U20,0)),"")</f>
        <v/>
      </c>
      <c r="F20" s="347" t="str">
        <f ca="1">IF(B20="SuCon","SuCon",CONCATENATE(IF(B20="Acrobatic",CONCATENATE(RIGHT(OFFSET('Coach Card'!$H$18,U20,0),1),V20),""),OFFSET('Coach Card'!$J$17,U20,0),IF(OFFSET('Coach Card'!$K$17,U20,0)&lt;&gt;"",V20,""),OFFSET('Coach Card'!$K$17,U20,0),IF(OFFSET('Coach Card'!$L$17,U20,0)&lt;&gt;"",V20,""),OFFSET('Coach Card'!$L$17,U20,0),IF(OFFSET('Coach Card'!$M$17,U20,0)&lt;&gt;"",V20,""),OFFSET('Coach Card'!$M$17,U20,0),IF(OFFSET('Coach Card'!$N$17,U20,0)&lt;&gt;"",IF(AND(LEFT(OFFSET('Coach Card'!$N$17,U20,0),1)="2",B20="Acrobatic"),"/",V20),""),OFFSET('Coach Card'!$N$17,U20,0),IF(OFFSET('Coach Card'!$O$17,U20,0)&lt;&gt;"",IF(AND(LEFT(OFFSET('Coach Card'!$O$17,U20,0),1)="2",B20="Acrobatic"),"/",V20),""),OFFSET('Coach Card'!$O$17,U20,0),IF(OFFSET('Coach Card'!$P$17,U20,0)&lt;&gt;"",V20,""),OFFSET('Coach Card'!$P$17,U20,0),IF(OFFSET('Coach Card'!$Q$17,U20,0)&lt;&gt;"",IF(LEFT(B20,4)="Acro"," + ",V20),""),OFFSET('Coach Card'!$Q$17,U20,0),IF(OFFSET('Coach Card'!$R$17,U20,0)&lt;&gt;"",IF(LEFT(B20,4)="Acro","/",V20),""),OFFSET('Coach Card'!$R$17,U20,0),IF(OFFSET('Coach Card'!$S$17,U20,0)&lt;&gt;"",V20,""),OFFSET('Coach Card'!$S$17,U20,0),IF(OFFSET('Coach Card'!$T$17,U20,0)&lt;&gt;"",V20,""),OFFSET('Coach Card'!$T$17,U20,0),IF(OFFSET('Coach Card'!$U$17,U20,0)&lt;&gt;"",V20,""),OFFSET('Coach Card'!$U$17,U20,0),IF(OFFSET('Coach Card'!$V$17,U20,0)&lt;&gt;"",V20,""),OFFSET('Coach Card'!$V$17,U20,0),IF(OFFSET('Coach Card'!$W$17,U20,0)&lt;&gt;"",V20,""),OFFSET('Coach Card'!$W$17,U20,0),IF(OFFSET('Coach Card'!$X$17,U20,0)&lt;&gt;"",V20,""),OFFSET('Coach Card'!$X$17,U20,0),IF(OFFSET('Coach Card'!$Y$17,U20,0)&lt;&gt;"",V20,""),OFFSET('Coach Card'!$Y$17,U20,0),IF(OFFSET('Coach Card'!$Z$17,U20,0)&lt;&gt;"",V20,""),OFFSET('Coach Card'!$Z$17,U20,0),IF(OFFSET('Coach Card'!$AA$17,U20,0)&lt;&gt;"",V20,""),OFFSET('Coach Card'!$AA$17,U20,0),IF(OFFSET('Coach Card'!$AB$17,U20,0)&lt;&gt;"",V20,""),OFFSET('Coach Card'!$AB$17,U20,0),IF(OFFSET('Coach Card'!$AC$17,U20,0)&lt;&gt;"",V20,""),OFFSET('Coach Card'!$AC$17,U20,0),IF(OFFSET('Coach Card'!$AD$17,U20,0)&lt;&gt;"",V20,""),OFFSET('Coach Card'!$AD$17,U20,0),IF(OFFSET('Coach Card'!$AE$17,U20,0)&lt;&gt;"",V20,""),OFFSET('Coach Card'!$AE$17,U20,0),IF(OFFSET('Coach Card'!$AF$17,U20,0)&lt;&gt;"",V20,""),OFFSET('Coach Card'!$AF$17,U20,0),IF(OFFSET('Coach Card'!$AG$17,U20,0)&lt;&gt;"",V20,""),OFFSET('Coach Card'!$AG$17,U20,0),IF(OFFSET('Coach Card'!$AH$17,U20,0)&lt;&gt;"",V20,""),OFFSET('Coach Card'!$AH$17,U20,0),IF(OFFSET('Coach Card'!$AI$17,U20,0)&lt;&gt;"",V20,""),OFFSET('Coach Card'!$AI$17,U20,0),IF(OFFSET('Coach Card'!$AJ$17,U20,0)&lt;&gt;"",V20,""),OFFSET('Coach Card'!$AJ$17,U20,0),IF(OFFSET('Coach Card'!$AK$17,U20,0)&lt;&gt;"",V20,""),OFFSET('Coach Card'!$AK$17,U20,0),IF(OFFSET('Coach Card'!$AL$17,U20,0)&lt;&gt;"",V20,""),OFFSET('Coach Card'!$AL$17,U20,0),IF(OFFSET('Coach Card'!$AM$17,U20,0)&lt;&gt;"",V20,""),OFFSET('Coach Card'!$AM$17,U20,0)))</f>
        <v/>
      </c>
      <c r="G20" s="348"/>
      <c r="H20" s="348"/>
      <c r="I20" s="348"/>
      <c r="J20" s="348"/>
      <c r="K20" s="348"/>
      <c r="L20" s="348"/>
      <c r="M20" s="348"/>
      <c r="N20" s="348"/>
      <c r="O20" s="348"/>
      <c r="P20" s="348"/>
      <c r="Q20" s="349"/>
      <c r="R20" s="173" t="str">
        <f ca="1">IF(OR(LEFT(B20,4)="Acro",LEFT(B20,1)="T",LEFT(B20,1)=""),"",IF(OFFSET('Coach Card'!$AN$17,U20,0)="","",OFFSET('Coach Card'!$AN$17,U20,0)))</f>
        <v/>
      </c>
      <c r="S20" s="174" t="str">
        <f ca="1">IF(OFFSET('Coach Card'!$AO$18,U20,0)=0,"",OFFSET('Coach Card'!$AO$18,U20,0))</f>
        <v/>
      </c>
      <c r="T20" s="194"/>
      <c r="U20" s="221">
        <v>10</v>
      </c>
      <c r="V20" s="125" t="str">
        <f ca="1">IF(OFFSET('Coach Card'!$W$17,U20,0)&lt;&gt;"","-"," - ")</f>
        <v xml:space="preserve"> - </v>
      </c>
      <c r="W20" s="125">
        <v>8</v>
      </c>
      <c r="X20" s="125" t="str">
        <f ca="1">IF(OFFSET('Coach Card'!$BA$19,W20,0)="X","X","")</f>
        <v/>
      </c>
    </row>
    <row r="21" spans="1:24" ht="22" customHeight="1" x14ac:dyDescent="0.35">
      <c r="A21" s="108" t="str">
        <f>IFERROR(IF('Coach Card'!D29&lt;&gt;"",IF('Coach Card'!C29&lt;&gt;"",CONCATENATE("0",'Coach Card'!A29,":",IF('Coach Card'!B29&lt;10,CONCATENATE("0",'Coach Card'!B29),'Coach Card'!B29)," - 0",'Coach Card'!C29,":",IF('Coach Card'!D29&lt;10,CONCATENATE("0",'Coach Card'!D29),'Coach Card'!D29)),""),""),"")</f>
        <v/>
      </c>
      <c r="B21" s="108" t="str">
        <f ca="1">IF(OFFSET('Coach Card'!$F$17,U21,0)="Transition","Transition",IF(OFFSET('Coach Card'!$F$17,U21,0)="Transition - Surface Connection","SuCon",IF(OFFSET('Coach Card'!$F$17,U21,0)="Hybrid - Thrust + 2 connections","Req.Hybrid",IF(LEFT(OFFSET('Coach Card'!$F$17,U21,0),4)="Hybr","Hybrid",IF(LEFT(OFFSET('Coach Card'!$F$17,U21,0),4)="Acro",IF(RIGHT(OFFSET('Coach Card'!$F$17,U21,0),4)="Pair","Pair Acro","Acrobatic"),IF(LEFT(OFFSET('Coach Card'!$F$17,U21,0),4)="Tech","TRE",""))))))</f>
        <v/>
      </c>
      <c r="C21" s="358" t="str">
        <f ca="1">IF(OFFSET('Coach Card'!$G$17,U21,0)&gt;0,OFFSET('Coach Card'!$G$17,U21,0),"")</f>
        <v/>
      </c>
      <c r="D21" s="359"/>
      <c r="E21" s="108" t="str">
        <f ca="1">IF(OFFSET('Coach Card'!$H$17,U21,0)&gt;0,IF(OR(B21="Transition",F21="ChoHY",B21="SuCon"),"",OFFSET('Coach Card'!$H$17,U21,0)),"")</f>
        <v/>
      </c>
      <c r="F21" s="347" t="str">
        <f ca="1">IF(B21="SuCon","SuCon",CONCATENATE(IF(B21="Acrobatic",CONCATENATE(RIGHT(OFFSET('Coach Card'!$H$18,U21,0),1),V21),""),OFFSET('Coach Card'!$J$17,U21,0),IF(OFFSET('Coach Card'!$K$17,U21,0)&lt;&gt;"",V21,""),OFFSET('Coach Card'!$K$17,U21,0),IF(OFFSET('Coach Card'!$L$17,U21,0)&lt;&gt;"",V21,""),OFFSET('Coach Card'!$L$17,U21,0),IF(OFFSET('Coach Card'!$M$17,U21,0)&lt;&gt;"",V21,""),OFFSET('Coach Card'!$M$17,U21,0),IF(OFFSET('Coach Card'!$N$17,U21,0)&lt;&gt;"",IF(AND(LEFT(OFFSET('Coach Card'!$N$17,U21,0),1)="2",B21="Acrobatic"),"/",V21),""),OFFSET('Coach Card'!$N$17,U21,0),IF(OFFSET('Coach Card'!$O$17,U21,0)&lt;&gt;"",IF(AND(LEFT(OFFSET('Coach Card'!$O$17,U21,0),1)="2",B21="Acrobatic"),"/",V21),""),OFFSET('Coach Card'!$O$17,U21,0),IF(OFFSET('Coach Card'!$P$17,U21,0)&lt;&gt;"",V21,""),OFFSET('Coach Card'!$P$17,U21,0),IF(OFFSET('Coach Card'!$Q$17,U21,0)&lt;&gt;"",IF(LEFT(B21,4)="Acro"," + ",V21),""),OFFSET('Coach Card'!$Q$17,U21,0),IF(OFFSET('Coach Card'!$R$17,U21,0)&lt;&gt;"",IF(LEFT(B21,4)="Acro","/",V21),""),OFFSET('Coach Card'!$R$17,U21,0),IF(OFFSET('Coach Card'!$S$17,U21,0)&lt;&gt;"",V21,""),OFFSET('Coach Card'!$S$17,U21,0),IF(OFFSET('Coach Card'!$T$17,U21,0)&lt;&gt;"",V21,""),OFFSET('Coach Card'!$T$17,U21,0),IF(OFFSET('Coach Card'!$U$17,U21,0)&lt;&gt;"",V21,""),OFFSET('Coach Card'!$U$17,U21,0),IF(OFFSET('Coach Card'!$V$17,U21,0)&lt;&gt;"",V21,""),OFFSET('Coach Card'!$V$17,U21,0),IF(OFFSET('Coach Card'!$W$17,U21,0)&lt;&gt;"",V21,""),OFFSET('Coach Card'!$W$17,U21,0),IF(OFFSET('Coach Card'!$X$17,U21,0)&lt;&gt;"",V21,""),OFFSET('Coach Card'!$X$17,U21,0),IF(OFFSET('Coach Card'!$Y$17,U21,0)&lt;&gt;"",V21,""),OFFSET('Coach Card'!$Y$17,U21,0),IF(OFFSET('Coach Card'!$Z$17,U21,0)&lt;&gt;"",V21,""),OFFSET('Coach Card'!$Z$17,U21,0),IF(OFFSET('Coach Card'!$AA$17,U21,0)&lt;&gt;"",V21,""),OFFSET('Coach Card'!$AA$17,U21,0),IF(OFFSET('Coach Card'!$AB$17,U21,0)&lt;&gt;"",V21,""),OFFSET('Coach Card'!$AB$17,U21,0),IF(OFFSET('Coach Card'!$AC$17,U21,0)&lt;&gt;"",V21,""),OFFSET('Coach Card'!$AC$17,U21,0),IF(OFFSET('Coach Card'!$AD$17,U21,0)&lt;&gt;"",V21,""),OFFSET('Coach Card'!$AD$17,U21,0),IF(OFFSET('Coach Card'!$AE$17,U21,0)&lt;&gt;"",V21,""),OFFSET('Coach Card'!$AE$17,U21,0),IF(OFFSET('Coach Card'!$AF$17,U21,0)&lt;&gt;"",V21,""),OFFSET('Coach Card'!$AF$17,U21,0),IF(OFFSET('Coach Card'!$AG$17,U21,0)&lt;&gt;"",V21,""),OFFSET('Coach Card'!$AG$17,U21,0),IF(OFFSET('Coach Card'!$AH$17,U21,0)&lt;&gt;"",V21,""),OFFSET('Coach Card'!$AH$17,U21,0),IF(OFFSET('Coach Card'!$AI$17,U21,0)&lt;&gt;"",V21,""),OFFSET('Coach Card'!$AI$17,U21,0),IF(OFFSET('Coach Card'!$AJ$17,U21,0)&lt;&gt;"",V21,""),OFFSET('Coach Card'!$AJ$17,U21,0),IF(OFFSET('Coach Card'!$AK$17,U21,0)&lt;&gt;"",V21,""),OFFSET('Coach Card'!$AK$17,U21,0),IF(OFFSET('Coach Card'!$AL$17,U21,0)&lt;&gt;"",V21,""),OFFSET('Coach Card'!$AL$17,U21,0),IF(OFFSET('Coach Card'!$AM$17,U21,0)&lt;&gt;"",V21,""),OFFSET('Coach Card'!$AM$17,U21,0)))</f>
        <v/>
      </c>
      <c r="G21" s="348"/>
      <c r="H21" s="348"/>
      <c r="I21" s="348"/>
      <c r="J21" s="348"/>
      <c r="K21" s="348"/>
      <c r="L21" s="348"/>
      <c r="M21" s="348"/>
      <c r="N21" s="348"/>
      <c r="O21" s="348"/>
      <c r="P21" s="348"/>
      <c r="Q21" s="349"/>
      <c r="R21" s="173" t="str">
        <f ca="1">IF(OR(LEFT(B21,4)="Acro",LEFT(B21,1)="T",LEFT(B21,1)=""),"",IF(OFFSET('Coach Card'!$AN$17,U21,0)="","",OFFSET('Coach Card'!$AN$17,U21,0)))</f>
        <v/>
      </c>
      <c r="S21" s="174" t="str">
        <f ca="1">IF(OFFSET('Coach Card'!$AO$18,U21,0)=0,"",OFFSET('Coach Card'!$AO$18,U21,0))</f>
        <v/>
      </c>
      <c r="T21" s="194"/>
      <c r="U21" s="221">
        <v>12</v>
      </c>
      <c r="V21" s="125" t="str">
        <f ca="1">IF(OFFSET('Coach Card'!$W$17,U21,0)&lt;&gt;"","-"," - ")</f>
        <v xml:space="preserve"> - </v>
      </c>
      <c r="W21" s="125">
        <v>10</v>
      </c>
      <c r="X21" s="125" t="str">
        <f ca="1">IF(OFFSET('Coach Card'!$BA$19,W21,0)="X","X","")</f>
        <v/>
      </c>
    </row>
    <row r="22" spans="1:24" ht="22" customHeight="1" x14ac:dyDescent="0.35">
      <c r="A22" s="108" t="str">
        <f>IFERROR(IF('Coach Card'!D31&lt;&gt;"",IF('Coach Card'!C31&lt;&gt;"",CONCATENATE("0",'Coach Card'!A31,":",IF('Coach Card'!B31&lt;10,CONCATENATE("0",'Coach Card'!B31),'Coach Card'!B31)," - 0",'Coach Card'!C31,":",IF('Coach Card'!D31&lt;10,CONCATENATE("0",'Coach Card'!D31),'Coach Card'!D31)),""),""),"")</f>
        <v/>
      </c>
      <c r="B22" s="108" t="str">
        <f ca="1">IF(OFFSET('Coach Card'!$F$17,U22,0)="Transition","Transition",IF(OFFSET('Coach Card'!$F$17,U22,0)="Transition - Surface Connection","SuCon",IF(OFFSET('Coach Card'!$F$17,U22,0)="Hybrid - Thrust + 2 connections","Req.Hybrid",IF(LEFT(OFFSET('Coach Card'!$F$17,U22,0),4)="Hybr","Hybrid",IF(LEFT(OFFSET('Coach Card'!$F$17,U22,0),4)="Acro",IF(RIGHT(OFFSET('Coach Card'!$F$17,U22,0),4)="Pair","Pair Acro","Acrobatic"),IF(LEFT(OFFSET('Coach Card'!$F$17,U22,0),4)="Tech","TRE",""))))))</f>
        <v/>
      </c>
      <c r="C22" s="358" t="str">
        <f ca="1">IF(OFFSET('Coach Card'!$G$17,U22,0)&gt;0,OFFSET('Coach Card'!$G$17,U22,0),"")</f>
        <v/>
      </c>
      <c r="D22" s="359"/>
      <c r="E22" s="108" t="str">
        <f ca="1">IF(OFFSET('Coach Card'!$H$17,U22,0)&gt;0,IF(OR(B22="Transition",F22="ChoHY",B22="SuCon"),"",OFFSET('Coach Card'!$H$17,U22,0)),"")</f>
        <v/>
      </c>
      <c r="F22" s="347" t="str">
        <f ca="1">IF(B22="SuCon","SuCon",CONCATENATE(IF(B22="Acrobatic",CONCATENATE(RIGHT(OFFSET('Coach Card'!$H$18,U22,0),1),V22),""),OFFSET('Coach Card'!$J$17,U22,0),IF(OFFSET('Coach Card'!$K$17,U22,0)&lt;&gt;"",V22,""),OFFSET('Coach Card'!$K$17,U22,0),IF(OFFSET('Coach Card'!$L$17,U22,0)&lt;&gt;"",V22,""),OFFSET('Coach Card'!$L$17,U22,0),IF(OFFSET('Coach Card'!$M$17,U22,0)&lt;&gt;"",V22,""),OFFSET('Coach Card'!$M$17,U22,0),IF(OFFSET('Coach Card'!$N$17,U22,0)&lt;&gt;"",IF(AND(LEFT(OFFSET('Coach Card'!$N$17,U22,0),1)="2",B22="Acrobatic"),"/",V22),""),OFFSET('Coach Card'!$N$17,U22,0),IF(OFFSET('Coach Card'!$O$17,U22,0)&lt;&gt;"",IF(AND(LEFT(OFFSET('Coach Card'!$O$17,U22,0),1)="2",B22="Acrobatic"),"/",V22),""),OFFSET('Coach Card'!$O$17,U22,0),IF(OFFSET('Coach Card'!$P$17,U22,0)&lt;&gt;"",V22,""),OFFSET('Coach Card'!$P$17,U22,0),IF(OFFSET('Coach Card'!$Q$17,U22,0)&lt;&gt;"",IF(LEFT(B22,4)="Acro"," + ",V22),""),OFFSET('Coach Card'!$Q$17,U22,0),IF(OFFSET('Coach Card'!$R$17,U22,0)&lt;&gt;"",IF(LEFT(B22,4)="Acro","/",V22),""),OFFSET('Coach Card'!$R$17,U22,0),IF(OFFSET('Coach Card'!$S$17,U22,0)&lt;&gt;"",V22,""),OFFSET('Coach Card'!$S$17,U22,0),IF(OFFSET('Coach Card'!$T$17,U22,0)&lt;&gt;"",V22,""),OFFSET('Coach Card'!$T$17,U22,0),IF(OFFSET('Coach Card'!$U$17,U22,0)&lt;&gt;"",V22,""),OFFSET('Coach Card'!$U$17,U22,0),IF(OFFSET('Coach Card'!$V$17,U22,0)&lt;&gt;"",V22,""),OFFSET('Coach Card'!$V$17,U22,0),IF(OFFSET('Coach Card'!$W$17,U22,0)&lt;&gt;"",V22,""),OFFSET('Coach Card'!$W$17,U22,0),IF(OFFSET('Coach Card'!$X$17,U22,0)&lt;&gt;"",V22,""),OFFSET('Coach Card'!$X$17,U22,0),IF(OFFSET('Coach Card'!$Y$17,U22,0)&lt;&gt;"",V22,""),OFFSET('Coach Card'!$Y$17,U22,0),IF(OFFSET('Coach Card'!$Z$17,U22,0)&lt;&gt;"",V22,""),OFFSET('Coach Card'!$Z$17,U22,0),IF(OFFSET('Coach Card'!$AA$17,U22,0)&lt;&gt;"",V22,""),OFFSET('Coach Card'!$AA$17,U22,0),IF(OFFSET('Coach Card'!$AB$17,U22,0)&lt;&gt;"",V22,""),OFFSET('Coach Card'!$AB$17,U22,0),IF(OFFSET('Coach Card'!$AC$17,U22,0)&lt;&gt;"",V22,""),OFFSET('Coach Card'!$AC$17,U22,0),IF(OFFSET('Coach Card'!$AD$17,U22,0)&lt;&gt;"",V22,""),OFFSET('Coach Card'!$AD$17,U22,0),IF(OFFSET('Coach Card'!$AE$17,U22,0)&lt;&gt;"",V22,""),OFFSET('Coach Card'!$AE$17,U22,0),IF(OFFSET('Coach Card'!$AF$17,U22,0)&lt;&gt;"",V22,""),OFFSET('Coach Card'!$AF$17,U22,0),IF(OFFSET('Coach Card'!$AG$17,U22,0)&lt;&gt;"",V22,""),OFFSET('Coach Card'!$AG$17,U22,0),IF(OFFSET('Coach Card'!$AH$17,U22,0)&lt;&gt;"",V22,""),OFFSET('Coach Card'!$AH$17,U22,0),IF(OFFSET('Coach Card'!$AI$17,U22,0)&lt;&gt;"",V22,""),OFFSET('Coach Card'!$AI$17,U22,0),IF(OFFSET('Coach Card'!$AJ$17,U22,0)&lt;&gt;"",V22,""),OFFSET('Coach Card'!$AJ$17,U22,0),IF(OFFSET('Coach Card'!$AK$17,U22,0)&lt;&gt;"",V22,""),OFFSET('Coach Card'!$AK$17,U22,0),IF(OFFSET('Coach Card'!$AL$17,U22,0)&lt;&gt;"",V22,""),OFFSET('Coach Card'!$AL$17,U22,0),IF(OFFSET('Coach Card'!$AM$17,U22,0)&lt;&gt;"",V22,""),OFFSET('Coach Card'!$AM$17,U22,0)))</f>
        <v/>
      </c>
      <c r="G22" s="348"/>
      <c r="H22" s="348"/>
      <c r="I22" s="348"/>
      <c r="J22" s="348"/>
      <c r="K22" s="348"/>
      <c r="L22" s="348"/>
      <c r="M22" s="348"/>
      <c r="N22" s="348"/>
      <c r="O22" s="348"/>
      <c r="P22" s="348"/>
      <c r="Q22" s="349"/>
      <c r="R22" s="173" t="str">
        <f ca="1">IF(OR(LEFT(B22,4)="Acro",LEFT(B22,1)="T",LEFT(B22,1)=""),"",IF(OFFSET('Coach Card'!$AN$17,U22,0)="","",OFFSET('Coach Card'!$AN$17,U22,0)))</f>
        <v/>
      </c>
      <c r="S22" s="174" t="str">
        <f ca="1">IF(OFFSET('Coach Card'!$AO$18,U22,0)=0,"",OFFSET('Coach Card'!$AO$18,U22,0))</f>
        <v/>
      </c>
      <c r="T22" s="194"/>
      <c r="U22" s="221">
        <v>14</v>
      </c>
      <c r="V22" s="125" t="str">
        <f ca="1">IF(OFFSET('Coach Card'!$W$17,U22,0)&lt;&gt;"","-"," - ")</f>
        <v xml:space="preserve"> - </v>
      </c>
      <c r="W22" s="125">
        <v>12</v>
      </c>
      <c r="X22" s="125" t="str">
        <f ca="1">IF(OFFSET('Coach Card'!$BA$19,W22,0)="X","X","")</f>
        <v/>
      </c>
    </row>
    <row r="23" spans="1:24" ht="22" customHeight="1" x14ac:dyDescent="0.35">
      <c r="A23" s="108" t="str">
        <f>IFERROR(IF('Coach Card'!D33&lt;&gt;"",IF('Coach Card'!C33&lt;&gt;"",CONCATENATE("0",'Coach Card'!A33,":",IF('Coach Card'!B33&lt;10,CONCATENATE("0",'Coach Card'!B33),'Coach Card'!B33)," - 0",'Coach Card'!C33,":",IF('Coach Card'!D33&lt;10,CONCATENATE("0",'Coach Card'!D33),'Coach Card'!D33)),""),""),"")</f>
        <v/>
      </c>
      <c r="B23" s="108" t="str">
        <f ca="1">IF(OFFSET('Coach Card'!$F$17,U23,0)="Transition","Transition",IF(OFFSET('Coach Card'!$F$17,U23,0)="Transition - Surface Connection","SuCon",IF(OFFSET('Coach Card'!$F$17,U23,0)="Hybrid - Thrust + 2 connections","Req.Hybrid",IF(LEFT(OFFSET('Coach Card'!$F$17,U23,0),4)="Hybr","Hybrid",IF(LEFT(OFFSET('Coach Card'!$F$17,U23,0),4)="Acro",IF(RIGHT(OFFSET('Coach Card'!$F$17,U23,0),4)="Pair","Pair Acro","Acrobatic"),IF(LEFT(OFFSET('Coach Card'!$F$17,U23,0),4)="Tech","TRE",""))))))</f>
        <v/>
      </c>
      <c r="C23" s="358" t="str">
        <f ca="1">IF(OFFSET('Coach Card'!$G$17,U23,0)&gt;0,OFFSET('Coach Card'!$G$17,U23,0),"")</f>
        <v/>
      </c>
      <c r="D23" s="359"/>
      <c r="E23" s="108" t="str">
        <f ca="1">IF(OFFSET('Coach Card'!$H$17,U23,0)&gt;0,IF(OR(B23="Transition",F23="ChoHY",B23="SuCon"),"",OFFSET('Coach Card'!$H$17,U23,0)),"")</f>
        <v/>
      </c>
      <c r="F23" s="347" t="str">
        <f ca="1">IF(B23="SuCon","SuCon",CONCATENATE(IF(B23="Acrobatic",CONCATENATE(RIGHT(OFFSET('Coach Card'!$H$18,U23,0),1),V23),""),OFFSET('Coach Card'!$J$17,U23,0),IF(OFFSET('Coach Card'!$K$17,U23,0)&lt;&gt;"",V23,""),OFFSET('Coach Card'!$K$17,U23,0),IF(OFFSET('Coach Card'!$L$17,U23,0)&lt;&gt;"",V23,""),OFFSET('Coach Card'!$L$17,U23,0),IF(OFFSET('Coach Card'!$M$17,U23,0)&lt;&gt;"",V23,""),OFFSET('Coach Card'!$M$17,U23,0),IF(OFFSET('Coach Card'!$N$17,U23,0)&lt;&gt;"",IF(AND(LEFT(OFFSET('Coach Card'!$N$17,U23,0),1)="2",B23="Acrobatic"),"/",V23),""),OFFSET('Coach Card'!$N$17,U23,0),IF(OFFSET('Coach Card'!$O$17,U23,0)&lt;&gt;"",IF(AND(LEFT(OFFSET('Coach Card'!$O$17,U23,0),1)="2",B23="Acrobatic"),"/",V23),""),OFFSET('Coach Card'!$O$17,U23,0),IF(OFFSET('Coach Card'!$P$17,U23,0)&lt;&gt;"",V23,""),OFFSET('Coach Card'!$P$17,U23,0),IF(OFFSET('Coach Card'!$Q$17,U23,0)&lt;&gt;"",IF(LEFT(B23,4)="Acro"," + ",V23),""),OFFSET('Coach Card'!$Q$17,U23,0),IF(OFFSET('Coach Card'!$R$17,U23,0)&lt;&gt;"",IF(LEFT(B23,4)="Acro","/",V23),""),OFFSET('Coach Card'!$R$17,U23,0),IF(OFFSET('Coach Card'!$S$17,U23,0)&lt;&gt;"",V23,""),OFFSET('Coach Card'!$S$17,U23,0),IF(OFFSET('Coach Card'!$T$17,U23,0)&lt;&gt;"",V23,""),OFFSET('Coach Card'!$T$17,U23,0),IF(OFFSET('Coach Card'!$U$17,U23,0)&lt;&gt;"",V23,""),OFFSET('Coach Card'!$U$17,U23,0),IF(OFFSET('Coach Card'!$V$17,U23,0)&lt;&gt;"",V23,""),OFFSET('Coach Card'!$V$17,U23,0),IF(OFFSET('Coach Card'!$W$17,U23,0)&lt;&gt;"",V23,""),OFFSET('Coach Card'!$W$17,U23,0),IF(OFFSET('Coach Card'!$X$17,U23,0)&lt;&gt;"",V23,""),OFFSET('Coach Card'!$X$17,U23,0),IF(OFFSET('Coach Card'!$Y$17,U23,0)&lt;&gt;"",V23,""),OFFSET('Coach Card'!$Y$17,U23,0),IF(OFFSET('Coach Card'!$Z$17,U23,0)&lt;&gt;"",V23,""),OFFSET('Coach Card'!$Z$17,U23,0),IF(OFFSET('Coach Card'!$AA$17,U23,0)&lt;&gt;"",V23,""),OFFSET('Coach Card'!$AA$17,U23,0),IF(OFFSET('Coach Card'!$AB$17,U23,0)&lt;&gt;"",V23,""),OFFSET('Coach Card'!$AB$17,U23,0),IF(OFFSET('Coach Card'!$AC$17,U23,0)&lt;&gt;"",V23,""),OFFSET('Coach Card'!$AC$17,U23,0),IF(OFFSET('Coach Card'!$AD$17,U23,0)&lt;&gt;"",V23,""),OFFSET('Coach Card'!$AD$17,U23,0),IF(OFFSET('Coach Card'!$AE$17,U23,0)&lt;&gt;"",V23,""),OFFSET('Coach Card'!$AE$17,U23,0),IF(OFFSET('Coach Card'!$AF$17,U23,0)&lt;&gt;"",V23,""),OFFSET('Coach Card'!$AF$17,U23,0),IF(OFFSET('Coach Card'!$AG$17,U23,0)&lt;&gt;"",V23,""),OFFSET('Coach Card'!$AG$17,U23,0),IF(OFFSET('Coach Card'!$AH$17,U23,0)&lt;&gt;"",V23,""),OFFSET('Coach Card'!$AH$17,U23,0),IF(OFFSET('Coach Card'!$AI$17,U23,0)&lt;&gt;"",V23,""),OFFSET('Coach Card'!$AI$17,U23,0),IF(OFFSET('Coach Card'!$AJ$17,U23,0)&lt;&gt;"",V23,""),OFFSET('Coach Card'!$AJ$17,U23,0),IF(OFFSET('Coach Card'!$AK$17,U23,0)&lt;&gt;"",V23,""),OFFSET('Coach Card'!$AK$17,U23,0),IF(OFFSET('Coach Card'!$AL$17,U23,0)&lt;&gt;"",V23,""),OFFSET('Coach Card'!$AL$17,U23,0),IF(OFFSET('Coach Card'!$AM$17,U23,0)&lt;&gt;"",V23,""),OFFSET('Coach Card'!$AM$17,U23,0)))</f>
        <v/>
      </c>
      <c r="G23" s="348"/>
      <c r="H23" s="348"/>
      <c r="I23" s="348"/>
      <c r="J23" s="348"/>
      <c r="K23" s="348"/>
      <c r="L23" s="348"/>
      <c r="M23" s="348"/>
      <c r="N23" s="348"/>
      <c r="O23" s="348"/>
      <c r="P23" s="348"/>
      <c r="Q23" s="349"/>
      <c r="R23" s="173" t="str">
        <f ca="1">IF(OR(LEFT(B23,4)="Acro",LEFT(B23,1)="T",LEFT(B23,1)=""),"",IF(OFFSET('Coach Card'!$AN$17,U23,0)="","",OFFSET('Coach Card'!$AN$17,U23,0)))</f>
        <v/>
      </c>
      <c r="S23" s="174" t="str">
        <f ca="1">IF(OFFSET('Coach Card'!$AO$18,U23,0)=0,"",OFFSET('Coach Card'!$AO$18,U23,0))</f>
        <v/>
      </c>
      <c r="T23" s="194"/>
      <c r="U23" s="221">
        <v>16</v>
      </c>
      <c r="V23" s="125" t="str">
        <f ca="1">IF(OFFSET('Coach Card'!$W$17,U23,0)&lt;&gt;"","-"," - ")</f>
        <v xml:space="preserve"> - </v>
      </c>
      <c r="W23" s="125">
        <v>14</v>
      </c>
      <c r="X23" s="125" t="str">
        <f ca="1">IF(OFFSET('Coach Card'!$BA$19,W23,0)="X","X","")</f>
        <v/>
      </c>
    </row>
    <row r="24" spans="1:24" ht="22" customHeight="1" x14ac:dyDescent="0.35">
      <c r="A24" s="108" t="str">
        <f>IFERROR(IF('Coach Card'!D35&lt;&gt;"",IF('Coach Card'!C35&lt;&gt;"",CONCATENATE("0",'Coach Card'!A35,":",IF('Coach Card'!B35&lt;10,CONCATENATE("0",'Coach Card'!B35),'Coach Card'!B35)," - 0",'Coach Card'!C35,":",IF('Coach Card'!D35&lt;10,CONCATENATE("0",'Coach Card'!D35),'Coach Card'!D35)),""),""),"")</f>
        <v/>
      </c>
      <c r="B24" s="108" t="str">
        <f ca="1">IF(OFFSET('Coach Card'!$F$17,U24,0)="Transition","Transition",IF(OFFSET('Coach Card'!$F$17,U24,0)="Transition - Surface Connection","SuCon",IF(OFFSET('Coach Card'!$F$17,U24,0)="Hybrid - Thrust + 2 connections","Req.Hybrid",IF(LEFT(OFFSET('Coach Card'!$F$17,U24,0),4)="Hybr","Hybrid",IF(LEFT(OFFSET('Coach Card'!$F$17,U24,0),4)="Acro",IF(RIGHT(OFFSET('Coach Card'!$F$17,U24,0),4)="Pair","Pair Acro","Acrobatic"),IF(LEFT(OFFSET('Coach Card'!$F$17,U24,0),4)="Tech","TRE",""))))))</f>
        <v/>
      </c>
      <c r="C24" s="358" t="str">
        <f ca="1">IF(OFFSET('Coach Card'!$G$17,U24,0)&gt;0,OFFSET('Coach Card'!$G$17,U24,0),"")</f>
        <v/>
      </c>
      <c r="D24" s="359"/>
      <c r="E24" s="108" t="str">
        <f ca="1">IF(OFFSET('Coach Card'!$H$17,U24,0)&gt;0,IF(OR(B24="Transition",F24="ChoHY",B24="SuCon"),"",OFFSET('Coach Card'!$H$17,U24,0)),"")</f>
        <v/>
      </c>
      <c r="F24" s="347" t="str">
        <f ca="1">IF(B24="SuCon","SuCon",CONCATENATE(IF(B24="Acrobatic",CONCATENATE(RIGHT(OFFSET('Coach Card'!$H$18,U24,0),1),V24),""),OFFSET('Coach Card'!$J$17,U24,0),IF(OFFSET('Coach Card'!$K$17,U24,0)&lt;&gt;"",V24,""),OFFSET('Coach Card'!$K$17,U24,0),IF(OFFSET('Coach Card'!$L$17,U24,0)&lt;&gt;"",V24,""),OFFSET('Coach Card'!$L$17,U24,0),IF(OFFSET('Coach Card'!$M$17,U24,0)&lt;&gt;"",V24,""),OFFSET('Coach Card'!$M$17,U24,0),IF(OFFSET('Coach Card'!$N$17,U24,0)&lt;&gt;"",IF(AND(LEFT(OFFSET('Coach Card'!$N$17,U24,0),1)="2",B24="Acrobatic"),"/",V24),""),OFFSET('Coach Card'!$N$17,U24,0),IF(OFFSET('Coach Card'!$O$17,U24,0)&lt;&gt;"",IF(AND(LEFT(OFFSET('Coach Card'!$O$17,U24,0),1)="2",B24="Acrobatic"),"/",V24),""),OFFSET('Coach Card'!$O$17,U24,0),IF(OFFSET('Coach Card'!$P$17,U24,0)&lt;&gt;"",V24,""),OFFSET('Coach Card'!$P$17,U24,0),IF(OFFSET('Coach Card'!$Q$17,U24,0)&lt;&gt;"",IF(LEFT(B24,4)="Acro"," + ",V24),""),OFFSET('Coach Card'!$Q$17,U24,0),IF(OFFSET('Coach Card'!$R$17,U24,0)&lt;&gt;"",IF(LEFT(B24,4)="Acro","/",V24),""),OFFSET('Coach Card'!$R$17,U24,0),IF(OFFSET('Coach Card'!$S$17,U24,0)&lt;&gt;"",V24,""),OFFSET('Coach Card'!$S$17,U24,0),IF(OFFSET('Coach Card'!$T$17,U24,0)&lt;&gt;"",V24,""),OFFSET('Coach Card'!$T$17,U24,0),IF(OFFSET('Coach Card'!$U$17,U24,0)&lt;&gt;"",V24,""),OFFSET('Coach Card'!$U$17,U24,0),IF(OFFSET('Coach Card'!$V$17,U24,0)&lt;&gt;"",V24,""),OFFSET('Coach Card'!$V$17,U24,0),IF(OFFSET('Coach Card'!$W$17,U24,0)&lt;&gt;"",V24,""),OFFSET('Coach Card'!$W$17,U24,0),IF(OFFSET('Coach Card'!$X$17,U24,0)&lt;&gt;"",V24,""),OFFSET('Coach Card'!$X$17,U24,0),IF(OFFSET('Coach Card'!$Y$17,U24,0)&lt;&gt;"",V24,""),OFFSET('Coach Card'!$Y$17,U24,0),IF(OFFSET('Coach Card'!$Z$17,U24,0)&lt;&gt;"",V24,""),OFFSET('Coach Card'!$Z$17,U24,0),IF(OFFSET('Coach Card'!$AA$17,U24,0)&lt;&gt;"",V24,""),OFFSET('Coach Card'!$AA$17,U24,0),IF(OFFSET('Coach Card'!$AB$17,U24,0)&lt;&gt;"",V24,""),OFFSET('Coach Card'!$AB$17,U24,0),IF(OFFSET('Coach Card'!$AC$17,U24,0)&lt;&gt;"",V24,""),OFFSET('Coach Card'!$AC$17,U24,0),IF(OFFSET('Coach Card'!$AD$17,U24,0)&lt;&gt;"",V24,""),OFFSET('Coach Card'!$AD$17,U24,0),IF(OFFSET('Coach Card'!$AE$17,U24,0)&lt;&gt;"",V24,""),OFFSET('Coach Card'!$AE$17,U24,0),IF(OFFSET('Coach Card'!$AF$17,U24,0)&lt;&gt;"",V24,""),OFFSET('Coach Card'!$AF$17,U24,0),IF(OFFSET('Coach Card'!$AG$17,U24,0)&lt;&gt;"",V24,""),OFFSET('Coach Card'!$AG$17,U24,0),IF(OFFSET('Coach Card'!$AH$17,U24,0)&lt;&gt;"",V24,""),OFFSET('Coach Card'!$AH$17,U24,0),IF(OFFSET('Coach Card'!$AI$17,U24,0)&lt;&gt;"",V24,""),OFFSET('Coach Card'!$AI$17,U24,0),IF(OFFSET('Coach Card'!$AJ$17,U24,0)&lt;&gt;"",V24,""),OFFSET('Coach Card'!$AJ$17,U24,0),IF(OFFSET('Coach Card'!$AK$17,U24,0)&lt;&gt;"",V24,""),OFFSET('Coach Card'!$AK$17,U24,0),IF(OFFSET('Coach Card'!$AL$17,U24,0)&lt;&gt;"",V24,""),OFFSET('Coach Card'!$AL$17,U24,0),IF(OFFSET('Coach Card'!$AM$17,U24,0)&lt;&gt;"",V24,""),OFFSET('Coach Card'!$AM$17,U24,0)))</f>
        <v/>
      </c>
      <c r="G24" s="348"/>
      <c r="H24" s="348"/>
      <c r="I24" s="348"/>
      <c r="J24" s="348"/>
      <c r="K24" s="348"/>
      <c r="L24" s="348"/>
      <c r="M24" s="348"/>
      <c r="N24" s="348"/>
      <c r="O24" s="348"/>
      <c r="P24" s="348"/>
      <c r="Q24" s="349"/>
      <c r="R24" s="173" t="str">
        <f ca="1">IF(OR(LEFT(B24,4)="Acro",LEFT(B24,1)="T",LEFT(B24,1)=""),"",IF(OFFSET('Coach Card'!$AN$17,U24,0)="","",OFFSET('Coach Card'!$AN$17,U24,0)))</f>
        <v/>
      </c>
      <c r="S24" s="174" t="str">
        <f ca="1">IF(OFFSET('Coach Card'!$AO$18,U24,0)=0,"",OFFSET('Coach Card'!$AO$18,U24,0))</f>
        <v/>
      </c>
      <c r="T24" s="194"/>
      <c r="U24" s="221">
        <v>18</v>
      </c>
      <c r="V24" s="125" t="str">
        <f ca="1">IF(OFFSET('Coach Card'!$W$17,U24,0)&lt;&gt;"","-"," - ")</f>
        <v xml:space="preserve"> - </v>
      </c>
      <c r="W24" s="125">
        <v>16</v>
      </c>
      <c r="X24" s="125" t="str">
        <f ca="1">IF(OFFSET('Coach Card'!$BA$19,W24,0)="X","X","")</f>
        <v/>
      </c>
    </row>
    <row r="25" spans="1:24" ht="22" customHeight="1" x14ac:dyDescent="0.35">
      <c r="A25" s="108" t="str">
        <f>IFERROR(IF('Coach Card'!D37&lt;&gt;"",IF('Coach Card'!C37&lt;&gt;"",CONCATENATE("0",'Coach Card'!A37,":",IF('Coach Card'!B37&lt;10,CONCATENATE("0",'Coach Card'!B37),'Coach Card'!B37)," - 0",'Coach Card'!C37,":",IF('Coach Card'!D37&lt;10,CONCATENATE("0",'Coach Card'!D37),'Coach Card'!D37)),""),""),"")</f>
        <v/>
      </c>
      <c r="B25" s="108" t="str">
        <f ca="1">IF(OFFSET('Coach Card'!$F$17,U25,0)="Transition","Transition",IF(OFFSET('Coach Card'!$F$17,U25,0)="Transition - Surface Connection","SuCon",IF(OFFSET('Coach Card'!$F$17,U25,0)="Hybrid - Thrust + 2 connections","Req.Hybrid",IF(LEFT(OFFSET('Coach Card'!$F$17,U25,0),4)="Hybr","Hybrid",IF(LEFT(OFFSET('Coach Card'!$F$17,U25,0),4)="Acro",IF(RIGHT(OFFSET('Coach Card'!$F$17,U25,0),4)="Pair","Pair Acro","Acrobatic"),IF(LEFT(OFFSET('Coach Card'!$F$17,U25,0),4)="Tech","TRE",""))))))</f>
        <v/>
      </c>
      <c r="C25" s="358" t="str">
        <f ca="1">IF(OFFSET('Coach Card'!$G$17,U25,0)&gt;0,OFFSET('Coach Card'!$G$17,U25,0),"")</f>
        <v/>
      </c>
      <c r="D25" s="359"/>
      <c r="E25" s="108" t="str">
        <f ca="1">IF(OFFSET('Coach Card'!$H$17,U25,0)&gt;0,IF(OR(B25="Transition",F25="ChoHY",B25="SuCon"),"",OFFSET('Coach Card'!$H$17,U25,0)),"")</f>
        <v/>
      </c>
      <c r="F25" s="347" t="str">
        <f ca="1">IF(B25="SuCon","SuCon",CONCATENATE(IF(B25="Acrobatic",CONCATENATE(RIGHT(OFFSET('Coach Card'!$H$18,U25,0),1),V25),""),OFFSET('Coach Card'!$J$17,U25,0),IF(OFFSET('Coach Card'!$K$17,U25,0)&lt;&gt;"",V25,""),OFFSET('Coach Card'!$K$17,U25,0),IF(OFFSET('Coach Card'!$L$17,U25,0)&lt;&gt;"",V25,""),OFFSET('Coach Card'!$L$17,U25,0),IF(OFFSET('Coach Card'!$M$17,U25,0)&lt;&gt;"",V25,""),OFFSET('Coach Card'!$M$17,U25,0),IF(OFFSET('Coach Card'!$N$17,U25,0)&lt;&gt;"",IF(AND(LEFT(OFFSET('Coach Card'!$N$17,U25,0),1)="2",B25="Acrobatic"),"/",V25),""),OFFSET('Coach Card'!$N$17,U25,0),IF(OFFSET('Coach Card'!$O$17,U25,0)&lt;&gt;"",IF(AND(LEFT(OFFSET('Coach Card'!$O$17,U25,0),1)="2",B25="Acrobatic"),"/",V25),""),OFFSET('Coach Card'!$O$17,U25,0),IF(OFFSET('Coach Card'!$P$17,U25,0)&lt;&gt;"",V25,""),OFFSET('Coach Card'!$P$17,U25,0),IF(OFFSET('Coach Card'!$Q$17,U25,0)&lt;&gt;"",IF(LEFT(B25,4)="Acro"," + ",V25),""),OFFSET('Coach Card'!$Q$17,U25,0),IF(OFFSET('Coach Card'!$R$17,U25,0)&lt;&gt;"",IF(LEFT(B25,4)="Acro","/",V25),""),OFFSET('Coach Card'!$R$17,U25,0),IF(OFFSET('Coach Card'!$S$17,U25,0)&lt;&gt;"",V25,""),OFFSET('Coach Card'!$S$17,U25,0),IF(OFFSET('Coach Card'!$T$17,U25,0)&lt;&gt;"",V25,""),OFFSET('Coach Card'!$T$17,U25,0),IF(OFFSET('Coach Card'!$U$17,U25,0)&lt;&gt;"",V25,""),OFFSET('Coach Card'!$U$17,U25,0),IF(OFFSET('Coach Card'!$V$17,U25,0)&lt;&gt;"",V25,""),OFFSET('Coach Card'!$V$17,U25,0),IF(OFFSET('Coach Card'!$W$17,U25,0)&lt;&gt;"",V25,""),OFFSET('Coach Card'!$W$17,U25,0),IF(OFFSET('Coach Card'!$X$17,U25,0)&lt;&gt;"",V25,""),OFFSET('Coach Card'!$X$17,U25,0),IF(OFFSET('Coach Card'!$Y$17,U25,0)&lt;&gt;"",V25,""),OFFSET('Coach Card'!$Y$17,U25,0),IF(OFFSET('Coach Card'!$Z$17,U25,0)&lt;&gt;"",V25,""),OFFSET('Coach Card'!$Z$17,U25,0),IF(OFFSET('Coach Card'!$AA$17,U25,0)&lt;&gt;"",V25,""),OFFSET('Coach Card'!$AA$17,U25,0),IF(OFFSET('Coach Card'!$AB$17,U25,0)&lt;&gt;"",V25,""),OFFSET('Coach Card'!$AB$17,U25,0),IF(OFFSET('Coach Card'!$AC$17,U25,0)&lt;&gt;"",V25,""),OFFSET('Coach Card'!$AC$17,U25,0),IF(OFFSET('Coach Card'!$AD$17,U25,0)&lt;&gt;"",V25,""),OFFSET('Coach Card'!$AD$17,U25,0),IF(OFFSET('Coach Card'!$AE$17,U25,0)&lt;&gt;"",V25,""),OFFSET('Coach Card'!$AE$17,U25,0),IF(OFFSET('Coach Card'!$AF$17,U25,0)&lt;&gt;"",V25,""),OFFSET('Coach Card'!$AF$17,U25,0),IF(OFFSET('Coach Card'!$AG$17,U25,0)&lt;&gt;"",V25,""),OFFSET('Coach Card'!$AG$17,U25,0),IF(OFFSET('Coach Card'!$AH$17,U25,0)&lt;&gt;"",V25,""),OFFSET('Coach Card'!$AH$17,U25,0),IF(OFFSET('Coach Card'!$AI$17,U25,0)&lt;&gt;"",V25,""),OFFSET('Coach Card'!$AI$17,U25,0),IF(OFFSET('Coach Card'!$AJ$17,U25,0)&lt;&gt;"",V25,""),OFFSET('Coach Card'!$AJ$17,U25,0),IF(OFFSET('Coach Card'!$AK$17,U25,0)&lt;&gt;"",V25,""),OFFSET('Coach Card'!$AK$17,U25,0),IF(OFFSET('Coach Card'!$AL$17,U25,0)&lt;&gt;"",V25,""),OFFSET('Coach Card'!$AL$17,U25,0),IF(OFFSET('Coach Card'!$AM$17,U25,0)&lt;&gt;"",V25,""),OFFSET('Coach Card'!$AM$17,U25,0)))</f>
        <v/>
      </c>
      <c r="G25" s="348"/>
      <c r="H25" s="348"/>
      <c r="I25" s="348"/>
      <c r="J25" s="348"/>
      <c r="K25" s="348"/>
      <c r="L25" s="348"/>
      <c r="M25" s="348"/>
      <c r="N25" s="348"/>
      <c r="O25" s="348"/>
      <c r="P25" s="348"/>
      <c r="Q25" s="349"/>
      <c r="R25" s="173" t="str">
        <f ca="1">IF(OR(LEFT(B25,4)="Acro",LEFT(B25,1)="T",LEFT(B25,1)=""),"",IF(OFFSET('Coach Card'!$AN$17,U25,0)="","",OFFSET('Coach Card'!$AN$17,U25,0)))</f>
        <v/>
      </c>
      <c r="S25" s="174" t="str">
        <f ca="1">IF(OFFSET('Coach Card'!$AO$18,U25,0)=0,"",OFFSET('Coach Card'!$AO$18,U25,0))</f>
        <v/>
      </c>
      <c r="T25" s="194"/>
      <c r="U25" s="221">
        <v>20</v>
      </c>
      <c r="V25" s="125" t="str">
        <f ca="1">IF(OFFSET('Coach Card'!$W$17,U25,0)&lt;&gt;"","-"," - ")</f>
        <v xml:space="preserve"> - </v>
      </c>
      <c r="W25" s="125">
        <v>18</v>
      </c>
      <c r="X25" s="125" t="str">
        <f ca="1">IF(OFFSET('Coach Card'!$BA$19,W25,0)="X","X","")</f>
        <v/>
      </c>
    </row>
    <row r="26" spans="1:24" ht="22" customHeight="1" x14ac:dyDescent="0.35">
      <c r="A26" s="108" t="str">
        <f>IFERROR(IF('Coach Card'!D39&lt;&gt;"",IF('Coach Card'!C39&lt;&gt;"",CONCATENATE("0",'Coach Card'!A39,":",IF('Coach Card'!B39&lt;10,CONCATENATE("0",'Coach Card'!B39),'Coach Card'!B39)," - 0",'Coach Card'!C39,":",IF('Coach Card'!D39&lt;10,CONCATENATE("0",'Coach Card'!D39),'Coach Card'!D39)),""),""),"")</f>
        <v/>
      </c>
      <c r="B26" s="108" t="str">
        <f ca="1">IF(OFFSET('Coach Card'!$F$17,U26,0)="Transition","Transition",IF(OFFSET('Coach Card'!$F$17,U26,0)="Transition - Surface Connection","SuCon",IF(OFFSET('Coach Card'!$F$17,U26,0)="Hybrid - Thrust + 2 connections","Req.Hybrid",IF(LEFT(OFFSET('Coach Card'!$F$17,U26,0),4)="Hybr","Hybrid",IF(LEFT(OFFSET('Coach Card'!$F$17,U26,0),4)="Acro",IF(RIGHT(OFFSET('Coach Card'!$F$17,U26,0),4)="Pair","Pair Acro","Acrobatic"),IF(LEFT(OFFSET('Coach Card'!$F$17,U26,0),4)="Tech","TRE",""))))))</f>
        <v/>
      </c>
      <c r="C26" s="358" t="str">
        <f ca="1">IF(OFFSET('Coach Card'!$G$17,U26,0)&gt;0,OFFSET('Coach Card'!$G$17,U26,0),"")</f>
        <v/>
      </c>
      <c r="D26" s="359"/>
      <c r="E26" s="108" t="str">
        <f ca="1">IF(OFFSET('Coach Card'!$H$17,U26,0)&gt;0,IF(OR(B26="Transition",F26="ChoHY",B26="SuCon"),"",OFFSET('Coach Card'!$H$17,U26,0)),"")</f>
        <v/>
      </c>
      <c r="F26" s="347" t="str">
        <f ca="1">IF(B26="SuCon","SuCon",CONCATENATE(IF(B26="Acrobatic",CONCATENATE(RIGHT(OFFSET('Coach Card'!$H$18,U26,0),1),V26),""),OFFSET('Coach Card'!$J$17,U26,0),IF(OFFSET('Coach Card'!$K$17,U26,0)&lt;&gt;"",V26,""),OFFSET('Coach Card'!$K$17,U26,0),IF(OFFSET('Coach Card'!$L$17,U26,0)&lt;&gt;"",V26,""),OFFSET('Coach Card'!$L$17,U26,0),IF(OFFSET('Coach Card'!$M$17,U26,0)&lt;&gt;"",V26,""),OFFSET('Coach Card'!$M$17,U26,0),IF(OFFSET('Coach Card'!$N$17,U26,0)&lt;&gt;"",IF(AND(LEFT(OFFSET('Coach Card'!$N$17,U26,0),1)="2",B26="Acrobatic"),"/",V26),""),OFFSET('Coach Card'!$N$17,U26,0),IF(OFFSET('Coach Card'!$O$17,U26,0)&lt;&gt;"",IF(AND(LEFT(OFFSET('Coach Card'!$O$17,U26,0),1)="2",B26="Acrobatic"),"/",V26),""),OFFSET('Coach Card'!$O$17,U26,0),IF(OFFSET('Coach Card'!$P$17,U26,0)&lt;&gt;"",V26,""),OFFSET('Coach Card'!$P$17,U26,0),IF(OFFSET('Coach Card'!$Q$17,U26,0)&lt;&gt;"",IF(LEFT(B26,4)="Acro"," + ",V26),""),OFFSET('Coach Card'!$Q$17,U26,0),IF(OFFSET('Coach Card'!$R$17,U26,0)&lt;&gt;"",IF(LEFT(B26,4)="Acro","/",V26),""),OFFSET('Coach Card'!$R$17,U26,0),IF(OFFSET('Coach Card'!$S$17,U26,0)&lt;&gt;"",V26,""),OFFSET('Coach Card'!$S$17,U26,0),IF(OFFSET('Coach Card'!$T$17,U26,0)&lt;&gt;"",V26,""),OFFSET('Coach Card'!$T$17,U26,0),IF(OFFSET('Coach Card'!$U$17,U26,0)&lt;&gt;"",V26,""),OFFSET('Coach Card'!$U$17,U26,0),IF(OFFSET('Coach Card'!$V$17,U26,0)&lt;&gt;"",V26,""),OFFSET('Coach Card'!$V$17,U26,0),IF(OFFSET('Coach Card'!$W$17,U26,0)&lt;&gt;"",V26,""),OFFSET('Coach Card'!$W$17,U26,0),IF(OFFSET('Coach Card'!$X$17,U26,0)&lt;&gt;"",V26,""),OFFSET('Coach Card'!$X$17,U26,0),IF(OFFSET('Coach Card'!$Y$17,U26,0)&lt;&gt;"",V26,""),OFFSET('Coach Card'!$Y$17,U26,0),IF(OFFSET('Coach Card'!$Z$17,U26,0)&lt;&gt;"",V26,""),OFFSET('Coach Card'!$Z$17,U26,0),IF(OFFSET('Coach Card'!$AA$17,U26,0)&lt;&gt;"",V26,""),OFFSET('Coach Card'!$AA$17,U26,0),IF(OFFSET('Coach Card'!$AB$17,U26,0)&lt;&gt;"",V26,""),OFFSET('Coach Card'!$AB$17,U26,0),IF(OFFSET('Coach Card'!$AC$17,U26,0)&lt;&gt;"",V26,""),OFFSET('Coach Card'!$AC$17,U26,0),IF(OFFSET('Coach Card'!$AD$17,U26,0)&lt;&gt;"",V26,""),OFFSET('Coach Card'!$AD$17,U26,0),IF(OFFSET('Coach Card'!$AE$17,U26,0)&lt;&gt;"",V26,""),OFFSET('Coach Card'!$AE$17,U26,0),IF(OFFSET('Coach Card'!$AF$17,U26,0)&lt;&gt;"",V26,""),OFFSET('Coach Card'!$AF$17,U26,0),IF(OFFSET('Coach Card'!$AG$17,U26,0)&lt;&gt;"",V26,""),OFFSET('Coach Card'!$AG$17,U26,0),IF(OFFSET('Coach Card'!$AH$17,U26,0)&lt;&gt;"",V26,""),OFFSET('Coach Card'!$AH$17,U26,0),IF(OFFSET('Coach Card'!$AI$17,U26,0)&lt;&gt;"",V26,""),OFFSET('Coach Card'!$AI$17,U26,0),IF(OFFSET('Coach Card'!$AJ$17,U26,0)&lt;&gt;"",V26,""),OFFSET('Coach Card'!$AJ$17,U26,0),IF(OFFSET('Coach Card'!$AK$17,U26,0)&lt;&gt;"",V26,""),OFFSET('Coach Card'!$AK$17,U26,0),IF(OFFSET('Coach Card'!$AL$17,U26,0)&lt;&gt;"",V26,""),OFFSET('Coach Card'!$AL$17,U26,0),IF(OFFSET('Coach Card'!$AM$17,U26,0)&lt;&gt;"",V26,""),OFFSET('Coach Card'!$AM$17,U26,0)))</f>
        <v/>
      </c>
      <c r="G26" s="348"/>
      <c r="H26" s="348"/>
      <c r="I26" s="348"/>
      <c r="J26" s="348"/>
      <c r="K26" s="348"/>
      <c r="L26" s="348"/>
      <c r="M26" s="348"/>
      <c r="N26" s="348"/>
      <c r="O26" s="348"/>
      <c r="P26" s="348"/>
      <c r="Q26" s="349"/>
      <c r="R26" s="173" t="str">
        <f ca="1">IF(OR(LEFT(B26,4)="Acro",LEFT(B26,1)="T",LEFT(B26,1)=""),"",IF(OFFSET('Coach Card'!$AN$17,U26,0)="","",OFFSET('Coach Card'!$AN$17,U26,0)))</f>
        <v/>
      </c>
      <c r="S26" s="174" t="str">
        <f ca="1">IF(OFFSET('Coach Card'!$AO$18,U26,0)=0,"",OFFSET('Coach Card'!$AO$18,U26,0))</f>
        <v/>
      </c>
      <c r="T26" s="194"/>
      <c r="U26" s="221">
        <v>22</v>
      </c>
      <c r="V26" s="125" t="str">
        <f ca="1">IF(OFFSET('Coach Card'!$W$17,U26,0)&lt;&gt;"","-"," - ")</f>
        <v xml:space="preserve"> - </v>
      </c>
      <c r="W26" s="125">
        <v>20</v>
      </c>
      <c r="X26" s="125" t="str">
        <f ca="1">IF(OFFSET('Coach Card'!$BA$19,W26,0)="X","X","")</f>
        <v/>
      </c>
    </row>
    <row r="27" spans="1:24" ht="22" customHeight="1" x14ac:dyDescent="0.35">
      <c r="A27" s="108" t="str">
        <f>IFERROR(IF('Coach Card'!D41&lt;&gt;"",IF('Coach Card'!C41&lt;&gt;"",CONCATENATE("0",'Coach Card'!A41,":",IF('Coach Card'!B41&lt;10,CONCATENATE("0",'Coach Card'!B41),'Coach Card'!B41)," - 0",'Coach Card'!C41,":",IF('Coach Card'!D41&lt;10,CONCATENATE("0",'Coach Card'!D41),'Coach Card'!D41)),""),""),"")</f>
        <v/>
      </c>
      <c r="B27" s="108" t="str">
        <f ca="1">IF(OFFSET('Coach Card'!$F$17,U27,0)="Transition","Transition",IF(OFFSET('Coach Card'!$F$17,U27,0)="Transition - Surface Connection","SuCon",IF(OFFSET('Coach Card'!$F$17,U27,0)="Hybrid - Thrust + 2 connections","Req.Hybrid",IF(LEFT(OFFSET('Coach Card'!$F$17,U27,0),4)="Hybr","Hybrid",IF(LEFT(OFFSET('Coach Card'!$F$17,U27,0),4)="Acro",IF(RIGHT(OFFSET('Coach Card'!$F$17,U27,0),4)="Pair","Pair Acro","Acrobatic"),IF(LEFT(OFFSET('Coach Card'!$F$17,U27,0),4)="Tech","TRE",""))))))</f>
        <v/>
      </c>
      <c r="C27" s="358" t="str">
        <f ca="1">IF(OFFSET('Coach Card'!$G$17,U27,0)&gt;0,OFFSET('Coach Card'!$G$17,U27,0),"")</f>
        <v/>
      </c>
      <c r="D27" s="359"/>
      <c r="E27" s="108" t="str">
        <f ca="1">IF(OFFSET('Coach Card'!$H$17,U27,0)&gt;0,IF(OR(B27="Transition",F27="ChoHY",B27="SuCon"),"",OFFSET('Coach Card'!$H$17,U27,0)),"")</f>
        <v/>
      </c>
      <c r="F27" s="347" t="str">
        <f ca="1">IF(B27="SuCon","SuCon",CONCATENATE(IF(B27="Acrobatic",CONCATENATE(RIGHT(OFFSET('Coach Card'!$H$18,U27,0),1),V27),""),OFFSET('Coach Card'!$J$17,U27,0),IF(OFFSET('Coach Card'!$K$17,U27,0)&lt;&gt;"",V27,""),OFFSET('Coach Card'!$K$17,U27,0),IF(OFFSET('Coach Card'!$L$17,U27,0)&lt;&gt;"",V27,""),OFFSET('Coach Card'!$L$17,U27,0),IF(OFFSET('Coach Card'!$M$17,U27,0)&lt;&gt;"",V27,""),OFFSET('Coach Card'!$M$17,U27,0),IF(OFFSET('Coach Card'!$N$17,U27,0)&lt;&gt;"",IF(AND(LEFT(OFFSET('Coach Card'!$N$17,U27,0),1)="2",B27="Acrobatic"),"/",V27),""),OFFSET('Coach Card'!$N$17,U27,0),IF(OFFSET('Coach Card'!$O$17,U27,0)&lt;&gt;"",IF(AND(LEFT(OFFSET('Coach Card'!$O$17,U27,0),1)="2",B27="Acrobatic"),"/",V27),""),OFFSET('Coach Card'!$O$17,U27,0),IF(OFFSET('Coach Card'!$P$17,U27,0)&lt;&gt;"",V27,""),OFFSET('Coach Card'!$P$17,U27,0),IF(OFFSET('Coach Card'!$Q$17,U27,0)&lt;&gt;"",IF(LEFT(B27,4)="Acro"," + ",V27),""),OFFSET('Coach Card'!$Q$17,U27,0),IF(OFFSET('Coach Card'!$R$17,U27,0)&lt;&gt;"",IF(LEFT(B27,4)="Acro","/",V27),""),OFFSET('Coach Card'!$R$17,U27,0),IF(OFFSET('Coach Card'!$S$17,U27,0)&lt;&gt;"",V27,""),OFFSET('Coach Card'!$S$17,U27,0),IF(OFFSET('Coach Card'!$T$17,U27,0)&lt;&gt;"",V27,""),OFFSET('Coach Card'!$T$17,U27,0),IF(OFFSET('Coach Card'!$U$17,U27,0)&lt;&gt;"",V27,""),OFFSET('Coach Card'!$U$17,U27,0),IF(OFFSET('Coach Card'!$V$17,U27,0)&lt;&gt;"",V27,""),OFFSET('Coach Card'!$V$17,U27,0),IF(OFFSET('Coach Card'!$W$17,U27,0)&lt;&gt;"",V27,""),OFFSET('Coach Card'!$W$17,U27,0),IF(OFFSET('Coach Card'!$X$17,U27,0)&lt;&gt;"",V27,""),OFFSET('Coach Card'!$X$17,U27,0),IF(OFFSET('Coach Card'!$Y$17,U27,0)&lt;&gt;"",V27,""),OFFSET('Coach Card'!$Y$17,U27,0),IF(OFFSET('Coach Card'!$Z$17,U27,0)&lt;&gt;"",V27,""),OFFSET('Coach Card'!$Z$17,U27,0),IF(OFFSET('Coach Card'!$AA$17,U27,0)&lt;&gt;"",V27,""),OFFSET('Coach Card'!$AA$17,U27,0),IF(OFFSET('Coach Card'!$AB$17,U27,0)&lt;&gt;"",V27,""),OFFSET('Coach Card'!$AB$17,U27,0),IF(OFFSET('Coach Card'!$AC$17,U27,0)&lt;&gt;"",V27,""),OFFSET('Coach Card'!$AC$17,U27,0),IF(OFFSET('Coach Card'!$AD$17,U27,0)&lt;&gt;"",V27,""),OFFSET('Coach Card'!$AD$17,U27,0),IF(OFFSET('Coach Card'!$AE$17,U27,0)&lt;&gt;"",V27,""),OFFSET('Coach Card'!$AE$17,U27,0),IF(OFFSET('Coach Card'!$AF$17,U27,0)&lt;&gt;"",V27,""),OFFSET('Coach Card'!$AF$17,U27,0),IF(OFFSET('Coach Card'!$AG$17,U27,0)&lt;&gt;"",V27,""),OFFSET('Coach Card'!$AG$17,U27,0),IF(OFFSET('Coach Card'!$AH$17,U27,0)&lt;&gt;"",V27,""),OFFSET('Coach Card'!$AH$17,U27,0),IF(OFFSET('Coach Card'!$AI$17,U27,0)&lt;&gt;"",V27,""),OFFSET('Coach Card'!$AI$17,U27,0),IF(OFFSET('Coach Card'!$AJ$17,U27,0)&lt;&gt;"",V27,""),OFFSET('Coach Card'!$AJ$17,U27,0),IF(OFFSET('Coach Card'!$AK$17,U27,0)&lt;&gt;"",V27,""),OFFSET('Coach Card'!$AK$17,U27,0),IF(OFFSET('Coach Card'!$AL$17,U27,0)&lt;&gt;"",V27,""),OFFSET('Coach Card'!$AL$17,U27,0),IF(OFFSET('Coach Card'!$AM$17,U27,0)&lt;&gt;"",V27,""),OFFSET('Coach Card'!$AM$17,U27,0)))</f>
        <v/>
      </c>
      <c r="G27" s="348"/>
      <c r="H27" s="348"/>
      <c r="I27" s="348"/>
      <c r="J27" s="348"/>
      <c r="K27" s="348"/>
      <c r="L27" s="348"/>
      <c r="M27" s="348"/>
      <c r="N27" s="348"/>
      <c r="O27" s="348"/>
      <c r="P27" s="348"/>
      <c r="Q27" s="349"/>
      <c r="R27" s="173" t="str">
        <f ca="1">IF(OR(LEFT(B27,4)="Acro",LEFT(B27,1)="T",LEFT(B27,1)=""),"",IF(OFFSET('Coach Card'!$AN$17,U27,0)="","",OFFSET('Coach Card'!$AN$17,U27,0)))</f>
        <v/>
      </c>
      <c r="S27" s="174" t="str">
        <f ca="1">IF(OFFSET('Coach Card'!$AO$18,U27,0)=0,"",OFFSET('Coach Card'!$AO$18,U27,0))</f>
        <v/>
      </c>
      <c r="T27" s="194"/>
      <c r="U27" s="221">
        <v>24</v>
      </c>
      <c r="V27" s="125" t="str">
        <f ca="1">IF(OFFSET('Coach Card'!$W$17,U27,0)&lt;&gt;"","-"," - ")</f>
        <v xml:space="preserve"> - </v>
      </c>
      <c r="W27" s="125">
        <v>22</v>
      </c>
      <c r="X27" s="125" t="str">
        <f ca="1">IF(OFFSET('Coach Card'!$BA$19,W27,0)="X","X","")</f>
        <v/>
      </c>
    </row>
    <row r="28" spans="1:24" ht="22" customHeight="1" x14ac:dyDescent="0.35">
      <c r="A28" s="108" t="str">
        <f>IFERROR(IF('Coach Card'!D43&lt;&gt;"",IF('Coach Card'!C43&lt;&gt;"",CONCATENATE("0",'Coach Card'!A43,":",IF('Coach Card'!B43&lt;10,CONCATENATE("0",'Coach Card'!B43),'Coach Card'!B43)," - 0",'Coach Card'!C43,":",IF('Coach Card'!D43&lt;10,CONCATENATE("0",'Coach Card'!D43),'Coach Card'!D43)),""),""),"")</f>
        <v/>
      </c>
      <c r="B28" s="108" t="str">
        <f ca="1">IF(OFFSET('Coach Card'!$F$17,U28,0)="Transition","Transition",IF(OFFSET('Coach Card'!$F$17,U28,0)="Transition - Surface Connection","SuCon",IF(OFFSET('Coach Card'!$F$17,U28,0)="Hybrid - Thrust + 2 connections","Req.Hybrid",IF(LEFT(OFFSET('Coach Card'!$F$17,U28,0),4)="Hybr","Hybrid",IF(LEFT(OFFSET('Coach Card'!$F$17,U28,0),4)="Acro",IF(RIGHT(OFFSET('Coach Card'!$F$17,U28,0),4)="Pair","Pair Acro","Acrobatic"),IF(LEFT(OFFSET('Coach Card'!$F$17,U28,0),4)="Tech","TRE",""))))))</f>
        <v/>
      </c>
      <c r="C28" s="358" t="str">
        <f ca="1">IF(OFFSET('Coach Card'!$G$17,U28,0)&gt;0,OFFSET('Coach Card'!$G$17,U28,0),"")</f>
        <v/>
      </c>
      <c r="D28" s="359"/>
      <c r="E28" s="108" t="str">
        <f ca="1">IF(OFFSET('Coach Card'!$H$17,U28,0)&gt;0,IF(OR(B28="Transition",F28="ChoHY",B28="SuCon"),"",OFFSET('Coach Card'!$H$17,U28,0)),"")</f>
        <v/>
      </c>
      <c r="F28" s="347" t="str">
        <f ca="1">IF(B28="SuCon","SuCon",CONCATENATE(IF(B28="Acrobatic",CONCATENATE(RIGHT(OFFSET('Coach Card'!$H$18,U28,0),1),V28),""),OFFSET('Coach Card'!$J$17,U28,0),IF(OFFSET('Coach Card'!$K$17,U28,0)&lt;&gt;"",V28,""),OFFSET('Coach Card'!$K$17,U28,0),IF(OFFSET('Coach Card'!$L$17,U28,0)&lt;&gt;"",V28,""),OFFSET('Coach Card'!$L$17,U28,0),IF(OFFSET('Coach Card'!$M$17,U28,0)&lt;&gt;"",V28,""),OFFSET('Coach Card'!$M$17,U28,0),IF(OFFSET('Coach Card'!$N$17,U28,0)&lt;&gt;"",IF(AND(LEFT(OFFSET('Coach Card'!$N$17,U28,0),1)="2",B28="Acrobatic"),"/",V28),""),OFFSET('Coach Card'!$N$17,U28,0),IF(OFFSET('Coach Card'!$O$17,U28,0)&lt;&gt;"",IF(AND(LEFT(OFFSET('Coach Card'!$O$17,U28,0),1)="2",B28="Acrobatic"),"/",V28),""),OFFSET('Coach Card'!$O$17,U28,0),IF(OFFSET('Coach Card'!$P$17,U28,0)&lt;&gt;"",V28,""),OFFSET('Coach Card'!$P$17,U28,0),IF(OFFSET('Coach Card'!$Q$17,U28,0)&lt;&gt;"",IF(LEFT(B28,4)="Acro"," + ",V28),""),OFFSET('Coach Card'!$Q$17,U28,0),IF(OFFSET('Coach Card'!$R$17,U28,0)&lt;&gt;"",IF(LEFT(B28,4)="Acro","/",V28),""),OFFSET('Coach Card'!$R$17,U28,0),IF(OFFSET('Coach Card'!$S$17,U28,0)&lt;&gt;"",V28,""),OFFSET('Coach Card'!$S$17,U28,0),IF(OFFSET('Coach Card'!$T$17,U28,0)&lt;&gt;"",V28,""),OFFSET('Coach Card'!$T$17,U28,0),IF(OFFSET('Coach Card'!$U$17,U28,0)&lt;&gt;"",V28,""),OFFSET('Coach Card'!$U$17,U28,0),IF(OFFSET('Coach Card'!$V$17,U28,0)&lt;&gt;"",V28,""),OFFSET('Coach Card'!$V$17,U28,0),IF(OFFSET('Coach Card'!$W$17,U28,0)&lt;&gt;"",V28,""),OFFSET('Coach Card'!$W$17,U28,0),IF(OFFSET('Coach Card'!$X$17,U28,0)&lt;&gt;"",V28,""),OFFSET('Coach Card'!$X$17,U28,0),IF(OFFSET('Coach Card'!$Y$17,U28,0)&lt;&gt;"",V28,""),OFFSET('Coach Card'!$Y$17,U28,0),IF(OFFSET('Coach Card'!$Z$17,U28,0)&lt;&gt;"",V28,""),OFFSET('Coach Card'!$Z$17,U28,0),IF(OFFSET('Coach Card'!$AA$17,U28,0)&lt;&gt;"",V28,""),OFFSET('Coach Card'!$AA$17,U28,0),IF(OFFSET('Coach Card'!$AB$17,U28,0)&lt;&gt;"",V28,""),OFFSET('Coach Card'!$AB$17,U28,0),IF(OFFSET('Coach Card'!$AC$17,U28,0)&lt;&gt;"",V28,""),OFFSET('Coach Card'!$AC$17,U28,0),IF(OFFSET('Coach Card'!$AD$17,U28,0)&lt;&gt;"",V28,""),OFFSET('Coach Card'!$AD$17,U28,0),IF(OFFSET('Coach Card'!$AE$17,U28,0)&lt;&gt;"",V28,""),OFFSET('Coach Card'!$AE$17,U28,0),IF(OFFSET('Coach Card'!$AF$17,U28,0)&lt;&gt;"",V28,""),OFFSET('Coach Card'!$AF$17,U28,0),IF(OFFSET('Coach Card'!$AG$17,U28,0)&lt;&gt;"",V28,""),OFFSET('Coach Card'!$AG$17,U28,0),IF(OFFSET('Coach Card'!$AH$17,U28,0)&lt;&gt;"",V28,""),OFFSET('Coach Card'!$AH$17,U28,0),IF(OFFSET('Coach Card'!$AI$17,U28,0)&lt;&gt;"",V28,""),OFFSET('Coach Card'!$AI$17,U28,0),IF(OFFSET('Coach Card'!$AJ$17,U28,0)&lt;&gt;"",V28,""),OFFSET('Coach Card'!$AJ$17,U28,0),IF(OFFSET('Coach Card'!$AK$17,U28,0)&lt;&gt;"",V28,""),OFFSET('Coach Card'!$AK$17,U28,0),IF(OFFSET('Coach Card'!$AL$17,U28,0)&lt;&gt;"",V28,""),OFFSET('Coach Card'!$AL$17,U28,0),IF(OFFSET('Coach Card'!$AM$17,U28,0)&lt;&gt;"",V28,""),OFFSET('Coach Card'!$AM$17,U28,0)))</f>
        <v/>
      </c>
      <c r="G28" s="348"/>
      <c r="H28" s="348"/>
      <c r="I28" s="348"/>
      <c r="J28" s="348"/>
      <c r="K28" s="348"/>
      <c r="L28" s="348"/>
      <c r="M28" s="348"/>
      <c r="N28" s="348"/>
      <c r="O28" s="348"/>
      <c r="P28" s="348"/>
      <c r="Q28" s="349"/>
      <c r="R28" s="173" t="str">
        <f ca="1">IF(OR(LEFT(B28,4)="Acro",LEFT(B28,1)="T",LEFT(B28,1)=""),"",IF(OFFSET('Coach Card'!$AN$17,U28,0)="","",OFFSET('Coach Card'!$AN$17,U28,0)))</f>
        <v/>
      </c>
      <c r="S28" s="174" t="str">
        <f ca="1">IF(OFFSET('Coach Card'!$AO$18,U28,0)=0,"",OFFSET('Coach Card'!$AO$18,U28,0))</f>
        <v/>
      </c>
      <c r="T28" s="194"/>
      <c r="U28" s="221">
        <v>26</v>
      </c>
      <c r="V28" s="125" t="str">
        <f ca="1">IF(OFFSET('Coach Card'!$W$17,U28,0)&lt;&gt;"","-"," - ")</f>
        <v xml:space="preserve"> - </v>
      </c>
      <c r="W28" s="125">
        <v>24</v>
      </c>
      <c r="X28" s="125" t="str">
        <f ca="1">IF(OFFSET('Coach Card'!$BA$19,W28,0)="X","X","")</f>
        <v/>
      </c>
    </row>
    <row r="29" spans="1:24" ht="22" customHeight="1" x14ac:dyDescent="0.35">
      <c r="A29" s="108" t="str">
        <f>IFERROR(IF('Coach Card'!D45&lt;&gt;"",IF('Coach Card'!C45&lt;&gt;"",CONCATENATE("0",'Coach Card'!A45,":",IF('Coach Card'!B45&lt;10,CONCATENATE("0",'Coach Card'!B45),'Coach Card'!B45)," - 0",'Coach Card'!C45,":",IF('Coach Card'!D45&lt;10,CONCATENATE("0",'Coach Card'!D45),'Coach Card'!D45)),""),""),"")</f>
        <v/>
      </c>
      <c r="B29" s="108" t="str">
        <f ca="1">IF(OFFSET('Coach Card'!$F$17,U29,0)="Transition","Transition",IF(OFFSET('Coach Card'!$F$17,U29,0)="Transition - Surface Connection","SuCon",IF(OFFSET('Coach Card'!$F$17,U29,0)="Hybrid - Thrust + 2 connections","Req.Hybrid",IF(LEFT(OFFSET('Coach Card'!$F$17,U29,0),4)="Hybr","Hybrid",IF(LEFT(OFFSET('Coach Card'!$F$17,U29,0),4)="Acro",IF(RIGHT(OFFSET('Coach Card'!$F$17,U29,0),4)="Pair","Pair Acro","Acrobatic"),IF(LEFT(OFFSET('Coach Card'!$F$17,U29,0),4)="Tech","TRE",""))))))</f>
        <v/>
      </c>
      <c r="C29" s="358" t="str">
        <f ca="1">IF(OFFSET('Coach Card'!$G$17,U29,0)&gt;0,OFFSET('Coach Card'!$G$17,U29,0),"")</f>
        <v/>
      </c>
      <c r="D29" s="359"/>
      <c r="E29" s="108" t="str">
        <f ca="1">IF(OFFSET('Coach Card'!$H$17,U29,0)&gt;0,IF(OR(B29="Transition",F29="ChoHY",B29="SuCon"),"",OFFSET('Coach Card'!$H$17,U29,0)),"")</f>
        <v/>
      </c>
      <c r="F29" s="347" t="str">
        <f ca="1">IF(B29="SuCon","SuCon",CONCATENATE(IF(B29="Acrobatic",CONCATENATE(RIGHT(OFFSET('Coach Card'!$H$18,U29,0),1),V29),""),OFFSET('Coach Card'!$J$17,U29,0),IF(OFFSET('Coach Card'!$K$17,U29,0)&lt;&gt;"",V29,""),OFFSET('Coach Card'!$K$17,U29,0),IF(OFFSET('Coach Card'!$L$17,U29,0)&lt;&gt;"",V29,""),OFFSET('Coach Card'!$L$17,U29,0),IF(OFFSET('Coach Card'!$M$17,U29,0)&lt;&gt;"",V29,""),OFFSET('Coach Card'!$M$17,U29,0),IF(OFFSET('Coach Card'!$N$17,U29,0)&lt;&gt;"",IF(AND(LEFT(OFFSET('Coach Card'!$N$17,U29,0),1)="2",B29="Acrobatic"),"/",V29),""),OFFSET('Coach Card'!$N$17,U29,0),IF(OFFSET('Coach Card'!$O$17,U29,0)&lt;&gt;"",IF(AND(LEFT(OFFSET('Coach Card'!$O$17,U29,0),1)="2",B29="Acrobatic"),"/",V29),""),OFFSET('Coach Card'!$O$17,U29,0),IF(OFFSET('Coach Card'!$P$17,U29,0)&lt;&gt;"",V29,""),OFFSET('Coach Card'!$P$17,U29,0),IF(OFFSET('Coach Card'!$Q$17,U29,0)&lt;&gt;"",IF(LEFT(B29,4)="Acro"," + ",V29),""),OFFSET('Coach Card'!$Q$17,U29,0),IF(OFFSET('Coach Card'!$R$17,U29,0)&lt;&gt;"",IF(LEFT(B29,4)="Acro","/",V29),""),OFFSET('Coach Card'!$R$17,U29,0),IF(OFFSET('Coach Card'!$S$17,U29,0)&lt;&gt;"",V29,""),OFFSET('Coach Card'!$S$17,U29,0),IF(OFFSET('Coach Card'!$T$17,U29,0)&lt;&gt;"",V29,""),OFFSET('Coach Card'!$T$17,U29,0),IF(OFFSET('Coach Card'!$U$17,U29,0)&lt;&gt;"",V29,""),OFFSET('Coach Card'!$U$17,U29,0),IF(OFFSET('Coach Card'!$V$17,U29,0)&lt;&gt;"",V29,""),OFFSET('Coach Card'!$V$17,U29,0),IF(OFFSET('Coach Card'!$W$17,U29,0)&lt;&gt;"",V29,""),OFFSET('Coach Card'!$W$17,U29,0),IF(OFFSET('Coach Card'!$X$17,U29,0)&lt;&gt;"",V29,""),OFFSET('Coach Card'!$X$17,U29,0),IF(OFFSET('Coach Card'!$Y$17,U29,0)&lt;&gt;"",V29,""),OFFSET('Coach Card'!$Y$17,U29,0),IF(OFFSET('Coach Card'!$Z$17,U29,0)&lt;&gt;"",V29,""),OFFSET('Coach Card'!$Z$17,U29,0),IF(OFFSET('Coach Card'!$AA$17,U29,0)&lt;&gt;"",V29,""),OFFSET('Coach Card'!$AA$17,U29,0),IF(OFFSET('Coach Card'!$AB$17,U29,0)&lt;&gt;"",V29,""),OFFSET('Coach Card'!$AB$17,U29,0),IF(OFFSET('Coach Card'!$AC$17,U29,0)&lt;&gt;"",V29,""),OFFSET('Coach Card'!$AC$17,U29,0),IF(OFFSET('Coach Card'!$AD$17,U29,0)&lt;&gt;"",V29,""),OFFSET('Coach Card'!$AD$17,U29,0),IF(OFFSET('Coach Card'!$AE$17,U29,0)&lt;&gt;"",V29,""),OFFSET('Coach Card'!$AE$17,U29,0),IF(OFFSET('Coach Card'!$AF$17,U29,0)&lt;&gt;"",V29,""),OFFSET('Coach Card'!$AF$17,U29,0),IF(OFFSET('Coach Card'!$AG$17,U29,0)&lt;&gt;"",V29,""),OFFSET('Coach Card'!$AG$17,U29,0),IF(OFFSET('Coach Card'!$AH$17,U29,0)&lt;&gt;"",V29,""),OFFSET('Coach Card'!$AH$17,U29,0),IF(OFFSET('Coach Card'!$AI$17,U29,0)&lt;&gt;"",V29,""),OFFSET('Coach Card'!$AI$17,U29,0),IF(OFFSET('Coach Card'!$AJ$17,U29,0)&lt;&gt;"",V29,""),OFFSET('Coach Card'!$AJ$17,U29,0),IF(OFFSET('Coach Card'!$AK$17,U29,0)&lt;&gt;"",V29,""),OFFSET('Coach Card'!$AK$17,U29,0),IF(OFFSET('Coach Card'!$AL$17,U29,0)&lt;&gt;"",V29,""),OFFSET('Coach Card'!$AL$17,U29,0),IF(OFFSET('Coach Card'!$AM$17,U29,0)&lt;&gt;"",V29,""),OFFSET('Coach Card'!$AM$17,U29,0)))</f>
        <v/>
      </c>
      <c r="G29" s="348"/>
      <c r="H29" s="348"/>
      <c r="I29" s="348"/>
      <c r="J29" s="348"/>
      <c r="K29" s="348"/>
      <c r="L29" s="348"/>
      <c r="M29" s="348"/>
      <c r="N29" s="348"/>
      <c r="O29" s="348"/>
      <c r="P29" s="348"/>
      <c r="Q29" s="349"/>
      <c r="R29" s="173" t="str">
        <f ca="1">IF(OR(LEFT(B29,4)="Acro",LEFT(B29,1)="T",LEFT(B29,1)=""),"",IF(OFFSET('Coach Card'!$AN$17,U29,0)="","",OFFSET('Coach Card'!$AN$17,U29,0)))</f>
        <v/>
      </c>
      <c r="S29" s="174" t="str">
        <f ca="1">IF(OFFSET('Coach Card'!$AO$18,U29,0)=0,"",OFFSET('Coach Card'!$AO$18,U29,0))</f>
        <v/>
      </c>
      <c r="T29" s="194"/>
      <c r="U29" s="221">
        <v>28</v>
      </c>
      <c r="V29" s="125" t="str">
        <f ca="1">IF(OFFSET('Coach Card'!$W$17,U29,0)&lt;&gt;"","-"," - ")</f>
        <v xml:space="preserve"> - </v>
      </c>
      <c r="W29" s="125">
        <v>26</v>
      </c>
      <c r="X29" s="125" t="str">
        <f ca="1">IF(OFFSET('Coach Card'!$BA$19,W29,0)="X","X","")</f>
        <v/>
      </c>
    </row>
    <row r="30" spans="1:24" ht="22" customHeight="1" x14ac:dyDescent="0.35">
      <c r="A30" s="108" t="str">
        <f>IFERROR(IF('Coach Card'!D47&lt;&gt;"",IF('Coach Card'!C47&lt;&gt;"",CONCATENATE("0",'Coach Card'!A47,":",IF('Coach Card'!B47&lt;10,CONCATENATE("0",'Coach Card'!B47),'Coach Card'!B47)," - 0",'Coach Card'!C47,":",IF('Coach Card'!D47&lt;10,CONCATENATE("0",'Coach Card'!D47),'Coach Card'!D47)),""),""),"")</f>
        <v/>
      </c>
      <c r="B30" s="108" t="str">
        <f ca="1">IF(OFFSET('Coach Card'!$F$17,U30,0)="Transition","Transition",IF(OFFSET('Coach Card'!$F$17,U30,0)="Transition - Surface Connection","SuCon",IF(OFFSET('Coach Card'!$F$17,U30,0)="Hybrid - Thrust + 2 connections","Req.Hybrid",IF(LEFT(OFFSET('Coach Card'!$F$17,U30,0),4)="Hybr","Hybrid",IF(LEFT(OFFSET('Coach Card'!$F$17,U30,0),4)="Acro",IF(RIGHT(OFFSET('Coach Card'!$F$17,U30,0),4)="Pair","Pair Acro","Acrobatic"),IF(LEFT(OFFSET('Coach Card'!$F$17,U30,0),4)="Tech","TRE",""))))))</f>
        <v/>
      </c>
      <c r="C30" s="358" t="str">
        <f ca="1">IF(OFFSET('Coach Card'!$G$17,U30,0)&gt;0,OFFSET('Coach Card'!$G$17,U30,0),"")</f>
        <v/>
      </c>
      <c r="D30" s="359"/>
      <c r="E30" s="108" t="str">
        <f ca="1">IF(OFFSET('Coach Card'!$H$17,U30,0)&gt;0,IF(OR(B30="Transition",F30="ChoHY",B30="SuCon"),"",OFFSET('Coach Card'!$H$17,U30,0)),"")</f>
        <v/>
      </c>
      <c r="F30" s="347" t="str">
        <f ca="1">IF(B30="SuCon","SuCon",CONCATENATE(IF(B30="Acrobatic",CONCATENATE(RIGHT(OFFSET('Coach Card'!$H$18,U30,0),1),V30),""),OFFSET('Coach Card'!$J$17,U30,0),IF(OFFSET('Coach Card'!$K$17,U30,0)&lt;&gt;"",V30,""),OFFSET('Coach Card'!$K$17,U30,0),IF(OFFSET('Coach Card'!$L$17,U30,0)&lt;&gt;"",V30,""),OFFSET('Coach Card'!$L$17,U30,0),IF(OFFSET('Coach Card'!$M$17,U30,0)&lt;&gt;"",V30,""),OFFSET('Coach Card'!$M$17,U30,0),IF(OFFSET('Coach Card'!$N$17,U30,0)&lt;&gt;"",IF(AND(LEFT(OFFSET('Coach Card'!$N$17,U30,0),1)="2",B30="Acrobatic"),"/",V30),""),OFFSET('Coach Card'!$N$17,U30,0),IF(OFFSET('Coach Card'!$O$17,U30,0)&lt;&gt;"",IF(AND(LEFT(OFFSET('Coach Card'!$O$17,U30,0),1)="2",B30="Acrobatic"),"/",V30),""),OFFSET('Coach Card'!$O$17,U30,0),IF(OFFSET('Coach Card'!$P$17,U30,0)&lt;&gt;"",V30,""),OFFSET('Coach Card'!$P$17,U30,0),IF(OFFSET('Coach Card'!$Q$17,U30,0)&lt;&gt;"",IF(LEFT(B30,4)="Acro"," + ",V30),""),OFFSET('Coach Card'!$Q$17,U30,0),IF(OFFSET('Coach Card'!$R$17,U30,0)&lt;&gt;"",IF(LEFT(B30,4)="Acro","/",V30),""),OFFSET('Coach Card'!$R$17,U30,0),IF(OFFSET('Coach Card'!$S$17,U30,0)&lt;&gt;"",V30,""),OFFSET('Coach Card'!$S$17,U30,0),IF(OFFSET('Coach Card'!$T$17,U30,0)&lt;&gt;"",V30,""),OFFSET('Coach Card'!$T$17,U30,0),IF(OFFSET('Coach Card'!$U$17,U30,0)&lt;&gt;"",V30,""),OFFSET('Coach Card'!$U$17,U30,0),IF(OFFSET('Coach Card'!$V$17,U30,0)&lt;&gt;"",V30,""),OFFSET('Coach Card'!$V$17,U30,0),IF(OFFSET('Coach Card'!$W$17,U30,0)&lt;&gt;"",V30,""),OFFSET('Coach Card'!$W$17,U30,0),IF(OFFSET('Coach Card'!$X$17,U30,0)&lt;&gt;"",V30,""),OFFSET('Coach Card'!$X$17,U30,0),IF(OFFSET('Coach Card'!$Y$17,U30,0)&lt;&gt;"",V30,""),OFFSET('Coach Card'!$Y$17,U30,0),IF(OFFSET('Coach Card'!$Z$17,U30,0)&lt;&gt;"",V30,""),OFFSET('Coach Card'!$Z$17,U30,0),IF(OFFSET('Coach Card'!$AA$17,U30,0)&lt;&gt;"",V30,""),OFFSET('Coach Card'!$AA$17,U30,0),IF(OFFSET('Coach Card'!$AB$17,U30,0)&lt;&gt;"",V30,""),OFFSET('Coach Card'!$AB$17,U30,0),IF(OFFSET('Coach Card'!$AC$17,U30,0)&lt;&gt;"",V30,""),OFFSET('Coach Card'!$AC$17,U30,0),IF(OFFSET('Coach Card'!$AD$17,U30,0)&lt;&gt;"",V30,""),OFFSET('Coach Card'!$AD$17,U30,0),IF(OFFSET('Coach Card'!$AE$17,U30,0)&lt;&gt;"",V30,""),OFFSET('Coach Card'!$AE$17,U30,0),IF(OFFSET('Coach Card'!$AF$17,U30,0)&lt;&gt;"",V30,""),OFFSET('Coach Card'!$AF$17,U30,0),IF(OFFSET('Coach Card'!$AG$17,U30,0)&lt;&gt;"",V30,""),OFFSET('Coach Card'!$AG$17,U30,0),IF(OFFSET('Coach Card'!$AH$17,U30,0)&lt;&gt;"",V30,""),OFFSET('Coach Card'!$AH$17,U30,0),IF(OFFSET('Coach Card'!$AI$17,U30,0)&lt;&gt;"",V30,""),OFFSET('Coach Card'!$AI$17,U30,0),IF(OFFSET('Coach Card'!$AJ$17,U30,0)&lt;&gt;"",V30,""),OFFSET('Coach Card'!$AJ$17,U30,0),IF(OFFSET('Coach Card'!$AK$17,U30,0)&lt;&gt;"",V30,""),OFFSET('Coach Card'!$AK$17,U30,0),IF(OFFSET('Coach Card'!$AL$17,U30,0)&lt;&gt;"",V30,""),OFFSET('Coach Card'!$AL$17,U30,0),IF(OFFSET('Coach Card'!$AM$17,U30,0)&lt;&gt;"",V30,""),OFFSET('Coach Card'!$AM$17,U30,0)))</f>
        <v/>
      </c>
      <c r="G30" s="348"/>
      <c r="H30" s="348"/>
      <c r="I30" s="348"/>
      <c r="J30" s="348"/>
      <c r="K30" s="348"/>
      <c r="L30" s="348"/>
      <c r="M30" s="348"/>
      <c r="N30" s="348"/>
      <c r="O30" s="348"/>
      <c r="P30" s="348"/>
      <c r="Q30" s="349"/>
      <c r="R30" s="173" t="str">
        <f ca="1">IF(OR(LEFT(B30,4)="Acro",LEFT(B30,1)="T",LEFT(B30,1)=""),"",IF(OFFSET('Coach Card'!$AN$17,U30,0)="","",OFFSET('Coach Card'!$AN$17,U30,0)))</f>
        <v/>
      </c>
      <c r="S30" s="174" t="str">
        <f ca="1">IF(OFFSET('Coach Card'!$AO$18,U30,0)=0,"",OFFSET('Coach Card'!$AO$18,U30,0))</f>
        <v/>
      </c>
      <c r="T30" s="194"/>
      <c r="U30" s="221">
        <v>30</v>
      </c>
      <c r="V30" s="125" t="str">
        <f ca="1">IF(OFFSET('Coach Card'!$W$17,U30,0)&lt;&gt;"","-"," - ")</f>
        <v xml:space="preserve"> - </v>
      </c>
      <c r="W30" s="125">
        <v>28</v>
      </c>
      <c r="X30" s="125" t="str">
        <f ca="1">IF(OFFSET('Coach Card'!$BA$19,W30,0)="X","X","")</f>
        <v/>
      </c>
    </row>
    <row r="31" spans="1:24" ht="22" customHeight="1" x14ac:dyDescent="0.35">
      <c r="A31" s="108" t="str">
        <f>IFERROR(IF('Coach Card'!D49&lt;&gt;"",IF('Coach Card'!C49&lt;&gt;"",CONCATENATE("0",'Coach Card'!A49,":",IF('Coach Card'!B49&lt;10,CONCATENATE("0",'Coach Card'!B49),'Coach Card'!B49)," - 0",'Coach Card'!C49,":",IF('Coach Card'!D49&lt;10,CONCATENATE("0",'Coach Card'!D49),'Coach Card'!D49)),""),""),"")</f>
        <v/>
      </c>
      <c r="B31" s="108" t="str">
        <f ca="1">IF(OFFSET('Coach Card'!$F$17,U31,0)="Transition","Transition",IF(OFFSET('Coach Card'!$F$17,U31,0)="Transition - Surface Connection","SuCon",IF(OFFSET('Coach Card'!$F$17,U31,0)="Hybrid - Thrust + 2 connections","Req.Hybrid",IF(LEFT(OFFSET('Coach Card'!$F$17,U31,0),4)="Hybr","Hybrid",IF(LEFT(OFFSET('Coach Card'!$F$17,U31,0),4)="Acro",IF(RIGHT(OFFSET('Coach Card'!$F$17,U31,0),4)="Pair","Pair Acro","Acrobatic"),IF(LEFT(OFFSET('Coach Card'!$F$17,U31,0),4)="Tech","TRE",""))))))</f>
        <v/>
      </c>
      <c r="C31" s="358" t="str">
        <f ca="1">IF(OFFSET('Coach Card'!$G$17,U31,0)&gt;0,OFFSET('Coach Card'!$G$17,U31,0),"")</f>
        <v/>
      </c>
      <c r="D31" s="359"/>
      <c r="E31" s="108" t="str">
        <f ca="1">IF(OFFSET('Coach Card'!$H$17,U31,0)&gt;0,IF(OR(B31="Transition",F31="ChoHY",B31="SuCon"),"",OFFSET('Coach Card'!$H$17,U31,0)),"")</f>
        <v/>
      </c>
      <c r="F31" s="347" t="str">
        <f ca="1">IF(B31="SuCon","SuCon",CONCATENATE(IF(B31="Acrobatic",CONCATENATE(RIGHT(OFFSET('Coach Card'!$H$18,U31,0),1),V31),""),OFFSET('Coach Card'!$J$17,U31,0),IF(OFFSET('Coach Card'!$K$17,U31,0)&lt;&gt;"",V31,""),OFFSET('Coach Card'!$K$17,U31,0),IF(OFFSET('Coach Card'!$L$17,U31,0)&lt;&gt;"",V31,""),OFFSET('Coach Card'!$L$17,U31,0),IF(OFFSET('Coach Card'!$M$17,U31,0)&lt;&gt;"",V31,""),OFFSET('Coach Card'!$M$17,U31,0),IF(OFFSET('Coach Card'!$N$17,U31,0)&lt;&gt;"",IF(AND(LEFT(OFFSET('Coach Card'!$N$17,U31,0),1)="2",B31="Acrobatic"),"/",V31),""),OFFSET('Coach Card'!$N$17,U31,0),IF(OFFSET('Coach Card'!$O$17,U31,0)&lt;&gt;"",IF(AND(LEFT(OFFSET('Coach Card'!$O$17,U31,0),1)="2",B31="Acrobatic"),"/",V31),""),OFFSET('Coach Card'!$O$17,U31,0),IF(OFFSET('Coach Card'!$P$17,U31,0)&lt;&gt;"",V31,""),OFFSET('Coach Card'!$P$17,U31,0),IF(OFFSET('Coach Card'!$Q$17,U31,0)&lt;&gt;"",IF(LEFT(B31,4)="Acro"," + ",V31),""),OFFSET('Coach Card'!$Q$17,U31,0),IF(OFFSET('Coach Card'!$R$17,U31,0)&lt;&gt;"",IF(LEFT(B31,4)="Acro","/",V31),""),OFFSET('Coach Card'!$R$17,U31,0),IF(OFFSET('Coach Card'!$S$17,U31,0)&lt;&gt;"",V31,""),OFFSET('Coach Card'!$S$17,U31,0),IF(OFFSET('Coach Card'!$T$17,U31,0)&lt;&gt;"",V31,""),OFFSET('Coach Card'!$T$17,U31,0),IF(OFFSET('Coach Card'!$U$17,U31,0)&lt;&gt;"",V31,""),OFFSET('Coach Card'!$U$17,U31,0),IF(OFFSET('Coach Card'!$V$17,U31,0)&lt;&gt;"",V31,""),OFFSET('Coach Card'!$V$17,U31,0),IF(OFFSET('Coach Card'!$W$17,U31,0)&lt;&gt;"",V31,""),OFFSET('Coach Card'!$W$17,U31,0),IF(OFFSET('Coach Card'!$X$17,U31,0)&lt;&gt;"",V31,""),OFFSET('Coach Card'!$X$17,U31,0),IF(OFFSET('Coach Card'!$Y$17,U31,0)&lt;&gt;"",V31,""),OFFSET('Coach Card'!$Y$17,U31,0),IF(OFFSET('Coach Card'!$Z$17,U31,0)&lt;&gt;"",V31,""),OFFSET('Coach Card'!$Z$17,U31,0),IF(OFFSET('Coach Card'!$AA$17,U31,0)&lt;&gt;"",V31,""),OFFSET('Coach Card'!$AA$17,U31,0),IF(OFFSET('Coach Card'!$AB$17,U31,0)&lt;&gt;"",V31,""),OFFSET('Coach Card'!$AB$17,U31,0),IF(OFFSET('Coach Card'!$AC$17,U31,0)&lt;&gt;"",V31,""),OFFSET('Coach Card'!$AC$17,U31,0),IF(OFFSET('Coach Card'!$AD$17,U31,0)&lt;&gt;"",V31,""),OFFSET('Coach Card'!$AD$17,U31,0),IF(OFFSET('Coach Card'!$AE$17,U31,0)&lt;&gt;"",V31,""),OFFSET('Coach Card'!$AE$17,U31,0),IF(OFFSET('Coach Card'!$AF$17,U31,0)&lt;&gt;"",V31,""),OFFSET('Coach Card'!$AF$17,U31,0),IF(OFFSET('Coach Card'!$AG$17,U31,0)&lt;&gt;"",V31,""),OFFSET('Coach Card'!$AG$17,U31,0),IF(OFFSET('Coach Card'!$AH$17,U31,0)&lt;&gt;"",V31,""),OFFSET('Coach Card'!$AH$17,U31,0),IF(OFFSET('Coach Card'!$AI$17,U31,0)&lt;&gt;"",V31,""),OFFSET('Coach Card'!$AI$17,U31,0),IF(OFFSET('Coach Card'!$AJ$17,U31,0)&lt;&gt;"",V31,""),OFFSET('Coach Card'!$AJ$17,U31,0),IF(OFFSET('Coach Card'!$AK$17,U31,0)&lt;&gt;"",V31,""),OFFSET('Coach Card'!$AK$17,U31,0),IF(OFFSET('Coach Card'!$AL$17,U31,0)&lt;&gt;"",V31,""),OFFSET('Coach Card'!$AL$17,U31,0),IF(OFFSET('Coach Card'!$AM$17,U31,0)&lt;&gt;"",V31,""),OFFSET('Coach Card'!$AM$17,U31,0)))</f>
        <v/>
      </c>
      <c r="G31" s="348"/>
      <c r="H31" s="348"/>
      <c r="I31" s="348"/>
      <c r="J31" s="348"/>
      <c r="K31" s="348"/>
      <c r="L31" s="348"/>
      <c r="M31" s="348"/>
      <c r="N31" s="348"/>
      <c r="O31" s="348"/>
      <c r="P31" s="348"/>
      <c r="Q31" s="349"/>
      <c r="R31" s="173" t="str">
        <f ca="1">IF(OR(LEFT(B31,4)="Acro",LEFT(B31,1)="T",LEFT(B31,1)=""),"",IF(OFFSET('Coach Card'!$AN$17,U31,0)="","",OFFSET('Coach Card'!$AN$17,U31,0)))</f>
        <v/>
      </c>
      <c r="S31" s="174" t="str">
        <f ca="1">IF(OFFSET('Coach Card'!$AO$18,U31,0)=0,"",OFFSET('Coach Card'!$AO$18,U31,0))</f>
        <v/>
      </c>
      <c r="T31" s="194"/>
      <c r="U31" s="221">
        <v>32</v>
      </c>
      <c r="V31" s="125" t="str">
        <f ca="1">IF(OFFSET('Coach Card'!$W$17,U31,0)&lt;&gt;"","-"," - ")</f>
        <v xml:space="preserve"> - </v>
      </c>
      <c r="W31" s="125">
        <v>30</v>
      </c>
      <c r="X31" s="125" t="str">
        <f ca="1">IF(OFFSET('Coach Card'!$BA$19,W31,0)="X","X","")</f>
        <v/>
      </c>
    </row>
    <row r="32" spans="1:24" ht="22" customHeight="1" x14ac:dyDescent="0.35">
      <c r="A32" s="108" t="str">
        <f>IFERROR(IF('Coach Card'!D51&lt;&gt;"",IF('Coach Card'!C51&lt;&gt;"",CONCATENATE("0",'Coach Card'!A51,":",IF('Coach Card'!B51&lt;10,CONCATENATE("0",'Coach Card'!B51),'Coach Card'!B51)," - 0",'Coach Card'!C51,":",IF('Coach Card'!D51&lt;10,CONCATENATE("0",'Coach Card'!D51),'Coach Card'!D51)),""),""),"")</f>
        <v/>
      </c>
      <c r="B32" s="108" t="str">
        <f ca="1">IF(OFFSET('Coach Card'!$F$17,U32,0)="Transition","Transition",IF(OFFSET('Coach Card'!$F$17,U32,0)="Transition - Surface Connection","SuCon",IF(OFFSET('Coach Card'!$F$17,U32,0)="Hybrid - Thrust + 2 connections","Req.Hybrid",IF(LEFT(OFFSET('Coach Card'!$F$17,U32,0),4)="Hybr","Hybrid",IF(LEFT(OFFSET('Coach Card'!$F$17,U32,0),4)="Acro",IF(RIGHT(OFFSET('Coach Card'!$F$17,U32,0),4)="Pair","Pair Acro","Acrobatic"),IF(LEFT(OFFSET('Coach Card'!$F$17,U32,0),4)="Tech","TRE",""))))))</f>
        <v/>
      </c>
      <c r="C32" s="358" t="str">
        <f ca="1">IF(OFFSET('Coach Card'!$G$17,U32,0)&gt;0,OFFSET('Coach Card'!$G$17,U32,0),"")</f>
        <v/>
      </c>
      <c r="D32" s="359"/>
      <c r="E32" s="108" t="str">
        <f ca="1">IF(OFFSET('Coach Card'!$H$17,U32,0)&gt;0,IF(OR(B32="Transition",F32="ChoHY",B32="SuCon"),"",OFFSET('Coach Card'!$H$17,U32,0)),"")</f>
        <v/>
      </c>
      <c r="F32" s="347" t="str">
        <f ca="1">IF(B32="SuCon","SuCon",CONCATENATE(IF(B32="Acrobatic",CONCATENATE(RIGHT(OFFSET('Coach Card'!$H$18,U32,0),1),V32),""),OFFSET('Coach Card'!$J$17,U32,0),IF(OFFSET('Coach Card'!$K$17,U32,0)&lt;&gt;"",V32,""),OFFSET('Coach Card'!$K$17,U32,0),IF(OFFSET('Coach Card'!$L$17,U32,0)&lt;&gt;"",V32,""),OFFSET('Coach Card'!$L$17,U32,0),IF(OFFSET('Coach Card'!$M$17,U32,0)&lt;&gt;"",V32,""),OFFSET('Coach Card'!$M$17,U32,0),IF(OFFSET('Coach Card'!$N$17,U32,0)&lt;&gt;"",IF(AND(LEFT(OFFSET('Coach Card'!$N$17,U32,0),1)="2",B32="Acrobatic"),"/",V32),""),OFFSET('Coach Card'!$N$17,U32,0),IF(OFFSET('Coach Card'!$O$17,U32,0)&lt;&gt;"",IF(AND(LEFT(OFFSET('Coach Card'!$O$17,U32,0),1)="2",B32="Acrobatic"),"/",V32),""),OFFSET('Coach Card'!$O$17,U32,0),IF(OFFSET('Coach Card'!$P$17,U32,0)&lt;&gt;"",V32,""),OFFSET('Coach Card'!$P$17,U32,0),IF(OFFSET('Coach Card'!$Q$17,U32,0)&lt;&gt;"",IF(LEFT(B32,4)="Acro"," + ",V32),""),OFFSET('Coach Card'!$Q$17,U32,0),IF(OFFSET('Coach Card'!$R$17,U32,0)&lt;&gt;"",IF(LEFT(B32,4)="Acro","/",V32),""),OFFSET('Coach Card'!$R$17,U32,0),IF(OFFSET('Coach Card'!$S$17,U32,0)&lt;&gt;"",V32,""),OFFSET('Coach Card'!$S$17,U32,0),IF(OFFSET('Coach Card'!$T$17,U32,0)&lt;&gt;"",V32,""),OFFSET('Coach Card'!$T$17,U32,0),IF(OFFSET('Coach Card'!$U$17,U32,0)&lt;&gt;"",V32,""),OFFSET('Coach Card'!$U$17,U32,0),IF(OFFSET('Coach Card'!$V$17,U32,0)&lt;&gt;"",V32,""),OFFSET('Coach Card'!$V$17,U32,0),IF(OFFSET('Coach Card'!$W$17,U32,0)&lt;&gt;"",V32,""),OFFSET('Coach Card'!$W$17,U32,0),IF(OFFSET('Coach Card'!$X$17,U32,0)&lt;&gt;"",V32,""),OFFSET('Coach Card'!$X$17,U32,0),IF(OFFSET('Coach Card'!$Y$17,U32,0)&lt;&gt;"",V32,""),OFFSET('Coach Card'!$Y$17,U32,0),IF(OFFSET('Coach Card'!$Z$17,U32,0)&lt;&gt;"",V32,""),OFFSET('Coach Card'!$Z$17,U32,0),IF(OFFSET('Coach Card'!$AA$17,U32,0)&lt;&gt;"",V32,""),OFFSET('Coach Card'!$AA$17,U32,0),IF(OFFSET('Coach Card'!$AB$17,U32,0)&lt;&gt;"",V32,""),OFFSET('Coach Card'!$AB$17,U32,0),IF(OFFSET('Coach Card'!$AC$17,U32,0)&lt;&gt;"",V32,""),OFFSET('Coach Card'!$AC$17,U32,0),IF(OFFSET('Coach Card'!$AD$17,U32,0)&lt;&gt;"",V32,""),OFFSET('Coach Card'!$AD$17,U32,0),IF(OFFSET('Coach Card'!$AE$17,U32,0)&lt;&gt;"",V32,""),OFFSET('Coach Card'!$AE$17,U32,0),IF(OFFSET('Coach Card'!$AF$17,U32,0)&lt;&gt;"",V32,""),OFFSET('Coach Card'!$AF$17,U32,0),IF(OFFSET('Coach Card'!$AG$17,U32,0)&lt;&gt;"",V32,""),OFFSET('Coach Card'!$AG$17,U32,0),IF(OFFSET('Coach Card'!$AH$17,U32,0)&lt;&gt;"",V32,""),OFFSET('Coach Card'!$AH$17,U32,0),IF(OFFSET('Coach Card'!$AI$17,U32,0)&lt;&gt;"",V32,""),OFFSET('Coach Card'!$AI$17,U32,0),IF(OFFSET('Coach Card'!$AJ$17,U32,0)&lt;&gt;"",V32,""),OFFSET('Coach Card'!$AJ$17,U32,0),IF(OFFSET('Coach Card'!$AK$17,U32,0)&lt;&gt;"",V32,""),OFFSET('Coach Card'!$AK$17,U32,0),IF(OFFSET('Coach Card'!$AL$17,U32,0)&lt;&gt;"",V32,""),OFFSET('Coach Card'!$AL$17,U32,0),IF(OFFSET('Coach Card'!$AM$17,U32,0)&lt;&gt;"",V32,""),OFFSET('Coach Card'!$AM$17,U32,0)))</f>
        <v/>
      </c>
      <c r="G32" s="348"/>
      <c r="H32" s="348"/>
      <c r="I32" s="348"/>
      <c r="J32" s="348"/>
      <c r="K32" s="348"/>
      <c r="L32" s="348"/>
      <c r="M32" s="348"/>
      <c r="N32" s="348"/>
      <c r="O32" s="348"/>
      <c r="P32" s="348"/>
      <c r="Q32" s="349"/>
      <c r="R32" s="173" t="str">
        <f ca="1">IF(OR(LEFT(B32,4)="Acro",LEFT(B32,1)="T",LEFT(B32,1)=""),"",IF(OFFSET('Coach Card'!$AN$17,U32,0)="","",OFFSET('Coach Card'!$AN$17,U32,0)))</f>
        <v/>
      </c>
      <c r="S32" s="174" t="str">
        <f ca="1">IF(OFFSET('Coach Card'!$AO$18,U32,0)=0,"",OFFSET('Coach Card'!$AO$18,U32,0))</f>
        <v/>
      </c>
      <c r="T32" s="194"/>
      <c r="U32" s="221">
        <v>34</v>
      </c>
      <c r="V32" s="125" t="str">
        <f ca="1">IF(OFFSET('Coach Card'!$W$17,U32,0)&lt;&gt;"","-"," - ")</f>
        <v xml:space="preserve"> - </v>
      </c>
      <c r="W32" s="125">
        <v>32</v>
      </c>
      <c r="X32" s="125" t="str">
        <f ca="1">IF(OFFSET('Coach Card'!$BA$19,W32,0)="X","X","")</f>
        <v/>
      </c>
    </row>
    <row r="33" spans="1:24" ht="22" customHeight="1" x14ac:dyDescent="0.35">
      <c r="A33" s="108" t="str">
        <f>IFERROR(IF('Coach Card'!D53&lt;&gt;"",IF('Coach Card'!C53&lt;&gt;"",CONCATENATE("0",'Coach Card'!A53,":",IF('Coach Card'!B53&lt;10,CONCATENATE("0",'Coach Card'!B53),'Coach Card'!B53)," - 0",'Coach Card'!C53,":",IF('Coach Card'!D53&lt;10,CONCATENATE("0",'Coach Card'!D53),'Coach Card'!D53)),""),""),"")</f>
        <v/>
      </c>
      <c r="B33" s="108" t="str">
        <f ca="1">IF(OFFSET('Coach Card'!$F$17,U33,0)="Transition","Transition",IF(OFFSET('Coach Card'!$F$17,U33,0)="Transition - Surface Connection","SuCon",IF(OFFSET('Coach Card'!$F$17,U33,0)="Hybrid - Thrust + 2 connections","Req.Hybrid",IF(LEFT(OFFSET('Coach Card'!$F$17,U33,0),4)="Hybr","Hybrid",IF(LEFT(OFFSET('Coach Card'!$F$17,U33,0),4)="Acro",IF(RIGHT(OFFSET('Coach Card'!$F$17,U33,0),4)="Pair","Pair Acro","Acrobatic"),IF(LEFT(OFFSET('Coach Card'!$F$17,U33,0),4)="Tech","TRE",""))))))</f>
        <v/>
      </c>
      <c r="C33" s="358" t="str">
        <f ca="1">IF(OFFSET('Coach Card'!$G$17,U33,0)&gt;0,OFFSET('Coach Card'!$G$17,U33,0),"")</f>
        <v/>
      </c>
      <c r="D33" s="359"/>
      <c r="E33" s="108" t="str">
        <f ca="1">IF(OFFSET('Coach Card'!$H$17,U33,0)&gt;0,IF(OR(B33="Transition",F33="ChoHY",B33="SuCon"),"",OFFSET('Coach Card'!$H$17,U33,0)),"")</f>
        <v/>
      </c>
      <c r="F33" s="347" t="str">
        <f ca="1">IF(B33="SuCon","SuCon",CONCATENATE(IF(B33="Acrobatic",CONCATENATE(RIGHT(OFFSET('Coach Card'!$H$18,U33,0),1),V33),""),OFFSET('Coach Card'!$J$17,U33,0),IF(OFFSET('Coach Card'!$K$17,U33,0)&lt;&gt;"",V33,""),OFFSET('Coach Card'!$K$17,U33,0),IF(OFFSET('Coach Card'!$L$17,U33,0)&lt;&gt;"",V33,""),OFFSET('Coach Card'!$L$17,U33,0),IF(OFFSET('Coach Card'!$M$17,U33,0)&lt;&gt;"",V33,""),OFFSET('Coach Card'!$M$17,U33,0),IF(OFFSET('Coach Card'!$N$17,U33,0)&lt;&gt;"",IF(AND(LEFT(OFFSET('Coach Card'!$N$17,U33,0),1)="2",B33="Acrobatic"),"/",V33),""),OFFSET('Coach Card'!$N$17,U33,0),IF(OFFSET('Coach Card'!$O$17,U33,0)&lt;&gt;"",IF(AND(LEFT(OFFSET('Coach Card'!$O$17,U33,0),1)="2",B33="Acrobatic"),"/",V33),""),OFFSET('Coach Card'!$O$17,U33,0),IF(OFFSET('Coach Card'!$P$17,U33,0)&lt;&gt;"",V33,""),OFFSET('Coach Card'!$P$17,U33,0),IF(OFFSET('Coach Card'!$Q$17,U33,0)&lt;&gt;"",IF(LEFT(B33,4)="Acro"," + ",V33),""),OFFSET('Coach Card'!$Q$17,U33,0),IF(OFFSET('Coach Card'!$R$17,U33,0)&lt;&gt;"",IF(LEFT(B33,4)="Acro","/",V33),""),OFFSET('Coach Card'!$R$17,U33,0),IF(OFFSET('Coach Card'!$S$17,U33,0)&lt;&gt;"",V33,""),OFFSET('Coach Card'!$S$17,U33,0),IF(OFFSET('Coach Card'!$T$17,U33,0)&lt;&gt;"",V33,""),OFFSET('Coach Card'!$T$17,U33,0),IF(OFFSET('Coach Card'!$U$17,U33,0)&lt;&gt;"",V33,""),OFFSET('Coach Card'!$U$17,U33,0),IF(OFFSET('Coach Card'!$V$17,U33,0)&lt;&gt;"",V33,""),OFFSET('Coach Card'!$V$17,U33,0),IF(OFFSET('Coach Card'!$W$17,U33,0)&lt;&gt;"",V33,""),OFFSET('Coach Card'!$W$17,U33,0),IF(OFFSET('Coach Card'!$X$17,U33,0)&lt;&gt;"",V33,""),OFFSET('Coach Card'!$X$17,U33,0),IF(OFFSET('Coach Card'!$Y$17,U33,0)&lt;&gt;"",V33,""),OFFSET('Coach Card'!$Y$17,U33,0),IF(OFFSET('Coach Card'!$Z$17,U33,0)&lt;&gt;"",V33,""),OFFSET('Coach Card'!$Z$17,U33,0),IF(OFFSET('Coach Card'!$AA$17,U33,0)&lt;&gt;"",V33,""),OFFSET('Coach Card'!$AA$17,U33,0),IF(OFFSET('Coach Card'!$AB$17,U33,0)&lt;&gt;"",V33,""),OFFSET('Coach Card'!$AB$17,U33,0),IF(OFFSET('Coach Card'!$AC$17,U33,0)&lt;&gt;"",V33,""),OFFSET('Coach Card'!$AC$17,U33,0),IF(OFFSET('Coach Card'!$AD$17,U33,0)&lt;&gt;"",V33,""),OFFSET('Coach Card'!$AD$17,U33,0),IF(OFFSET('Coach Card'!$AE$17,U33,0)&lt;&gt;"",V33,""),OFFSET('Coach Card'!$AE$17,U33,0),IF(OFFSET('Coach Card'!$AF$17,U33,0)&lt;&gt;"",V33,""),OFFSET('Coach Card'!$AF$17,U33,0),IF(OFFSET('Coach Card'!$AG$17,U33,0)&lt;&gt;"",V33,""),OFFSET('Coach Card'!$AG$17,U33,0),IF(OFFSET('Coach Card'!$AH$17,U33,0)&lt;&gt;"",V33,""),OFFSET('Coach Card'!$AH$17,U33,0),IF(OFFSET('Coach Card'!$AI$17,U33,0)&lt;&gt;"",V33,""),OFFSET('Coach Card'!$AI$17,U33,0),IF(OFFSET('Coach Card'!$AJ$17,U33,0)&lt;&gt;"",V33,""),OFFSET('Coach Card'!$AJ$17,U33,0),IF(OFFSET('Coach Card'!$AK$17,U33,0)&lt;&gt;"",V33,""),OFFSET('Coach Card'!$AK$17,U33,0),IF(OFFSET('Coach Card'!$AL$17,U33,0)&lt;&gt;"",V33,""),OFFSET('Coach Card'!$AL$17,U33,0),IF(OFFSET('Coach Card'!$AM$17,U33,0)&lt;&gt;"",V33,""),OFFSET('Coach Card'!$AM$17,U33,0)))</f>
        <v/>
      </c>
      <c r="G33" s="348"/>
      <c r="H33" s="348"/>
      <c r="I33" s="348"/>
      <c r="J33" s="348"/>
      <c r="K33" s="348"/>
      <c r="L33" s="348"/>
      <c r="M33" s="348"/>
      <c r="N33" s="348"/>
      <c r="O33" s="348"/>
      <c r="P33" s="348"/>
      <c r="Q33" s="349"/>
      <c r="R33" s="173" t="str">
        <f ca="1">IF(OR(LEFT(B33,4)="Acro",LEFT(B33,1)="T",LEFT(B33,1)=""),"",IF(OFFSET('Coach Card'!$AN$17,U33,0)="","",OFFSET('Coach Card'!$AN$17,U33,0)))</f>
        <v/>
      </c>
      <c r="S33" s="174" t="str">
        <f ca="1">IF(OFFSET('Coach Card'!$AO$18,U33,0)=0,"",OFFSET('Coach Card'!$AO$18,U33,0))</f>
        <v/>
      </c>
      <c r="T33" s="194"/>
      <c r="U33" s="221">
        <v>36</v>
      </c>
      <c r="V33" s="125" t="str">
        <f ca="1">IF(OFFSET('Coach Card'!$W$17,U33,0)&lt;&gt;"","-"," - ")</f>
        <v xml:space="preserve"> - </v>
      </c>
      <c r="W33" s="125">
        <v>34</v>
      </c>
      <c r="X33" s="125" t="str">
        <f ca="1">IF(OFFSET('Coach Card'!$BA$19,W33,0)="X","X","")</f>
        <v/>
      </c>
    </row>
    <row r="34" spans="1:24" ht="22" customHeight="1" x14ac:dyDescent="0.35">
      <c r="A34" s="108" t="str">
        <f>IFERROR(IF('Coach Card'!D55&lt;&gt;"",IF('Coach Card'!C55&lt;&gt;"",CONCATENATE("0",'Coach Card'!A55,":",IF('Coach Card'!B55&lt;10,CONCATENATE("0",'Coach Card'!B55),'Coach Card'!B55)," - 0",'Coach Card'!C55,":",IF('Coach Card'!D55&lt;10,CONCATENATE("0",'Coach Card'!D55),'Coach Card'!D55)),""),""),"")</f>
        <v/>
      </c>
      <c r="B34" s="108" t="str">
        <f ca="1">IF(OFFSET('Coach Card'!$F$17,U34,0)="Transition","Transition",IF(OFFSET('Coach Card'!$F$17,U34,0)="Transition - Surface Connection","SuCon",IF(OFFSET('Coach Card'!$F$17,U34,0)="Hybrid - Thrust + 2 connections","Req.Hybrid",IF(LEFT(OFFSET('Coach Card'!$F$17,U34,0),4)="Hybr","Hybrid",IF(LEFT(OFFSET('Coach Card'!$F$17,U34,0),4)="Acro",IF(RIGHT(OFFSET('Coach Card'!$F$17,U34,0),4)="Pair","Pair Acro","Acrobatic"),IF(LEFT(OFFSET('Coach Card'!$F$17,U34,0),4)="Tech","TRE",""))))))</f>
        <v/>
      </c>
      <c r="C34" s="358" t="str">
        <f ca="1">IF(OFFSET('Coach Card'!$G$17,U34,0)&gt;0,OFFSET('Coach Card'!$G$17,U34,0),"")</f>
        <v/>
      </c>
      <c r="D34" s="359"/>
      <c r="E34" s="108" t="str">
        <f ca="1">IF(OFFSET('Coach Card'!$H$17,U34,0)&gt;0,IF(OR(B34="Transition",F34="ChoHY",B34="SuCon"),"",OFFSET('Coach Card'!$H$17,U34,0)),"")</f>
        <v/>
      </c>
      <c r="F34" s="347" t="str">
        <f ca="1">IF(B34="SuCon","SuCon",CONCATENATE(IF(B34="Acrobatic",CONCATENATE(RIGHT(OFFSET('Coach Card'!$H$18,U34,0),1),V34),""),OFFSET('Coach Card'!$J$17,U34,0),IF(OFFSET('Coach Card'!$K$17,U34,0)&lt;&gt;"",V34,""),OFFSET('Coach Card'!$K$17,U34,0),IF(OFFSET('Coach Card'!$L$17,U34,0)&lt;&gt;"",V34,""),OFFSET('Coach Card'!$L$17,U34,0),IF(OFFSET('Coach Card'!$M$17,U34,0)&lt;&gt;"",V34,""),OFFSET('Coach Card'!$M$17,U34,0),IF(OFFSET('Coach Card'!$N$17,U34,0)&lt;&gt;"",IF(AND(LEFT(OFFSET('Coach Card'!$N$17,U34,0),1)="2",B34="Acrobatic"),"/",V34),""),OFFSET('Coach Card'!$N$17,U34,0),IF(OFFSET('Coach Card'!$O$17,U34,0)&lt;&gt;"",IF(AND(LEFT(OFFSET('Coach Card'!$O$17,U34,0),1)="2",B34="Acrobatic"),"/",V34),""),OFFSET('Coach Card'!$O$17,U34,0),IF(OFFSET('Coach Card'!$P$17,U34,0)&lt;&gt;"",V34,""),OFFSET('Coach Card'!$P$17,U34,0),IF(OFFSET('Coach Card'!$Q$17,U34,0)&lt;&gt;"",IF(LEFT(B34,4)="Acro"," + ",V34),""),OFFSET('Coach Card'!$Q$17,U34,0),IF(OFFSET('Coach Card'!$R$17,U34,0)&lt;&gt;"",IF(LEFT(B34,4)="Acro","/",V34),""),OFFSET('Coach Card'!$R$17,U34,0),IF(OFFSET('Coach Card'!$S$17,U34,0)&lt;&gt;"",V34,""),OFFSET('Coach Card'!$S$17,U34,0),IF(OFFSET('Coach Card'!$T$17,U34,0)&lt;&gt;"",V34,""),OFFSET('Coach Card'!$T$17,U34,0),IF(OFFSET('Coach Card'!$U$17,U34,0)&lt;&gt;"",V34,""),OFFSET('Coach Card'!$U$17,U34,0),IF(OFFSET('Coach Card'!$V$17,U34,0)&lt;&gt;"",V34,""),OFFSET('Coach Card'!$V$17,U34,0),IF(OFFSET('Coach Card'!$W$17,U34,0)&lt;&gt;"",V34,""),OFFSET('Coach Card'!$W$17,U34,0),IF(OFFSET('Coach Card'!$X$17,U34,0)&lt;&gt;"",V34,""),OFFSET('Coach Card'!$X$17,U34,0),IF(OFFSET('Coach Card'!$Y$17,U34,0)&lt;&gt;"",V34,""),OFFSET('Coach Card'!$Y$17,U34,0),IF(OFFSET('Coach Card'!$Z$17,U34,0)&lt;&gt;"",V34,""),OFFSET('Coach Card'!$Z$17,U34,0),IF(OFFSET('Coach Card'!$AA$17,U34,0)&lt;&gt;"",V34,""),OFFSET('Coach Card'!$AA$17,U34,0),IF(OFFSET('Coach Card'!$AB$17,U34,0)&lt;&gt;"",V34,""),OFFSET('Coach Card'!$AB$17,U34,0),IF(OFFSET('Coach Card'!$AC$17,U34,0)&lt;&gt;"",V34,""),OFFSET('Coach Card'!$AC$17,U34,0),IF(OFFSET('Coach Card'!$AD$17,U34,0)&lt;&gt;"",V34,""),OFFSET('Coach Card'!$AD$17,U34,0),IF(OFFSET('Coach Card'!$AE$17,U34,0)&lt;&gt;"",V34,""),OFFSET('Coach Card'!$AE$17,U34,0),IF(OFFSET('Coach Card'!$AF$17,U34,0)&lt;&gt;"",V34,""),OFFSET('Coach Card'!$AF$17,U34,0),IF(OFFSET('Coach Card'!$AG$17,U34,0)&lt;&gt;"",V34,""),OFFSET('Coach Card'!$AG$17,U34,0),IF(OFFSET('Coach Card'!$AH$17,U34,0)&lt;&gt;"",V34,""),OFFSET('Coach Card'!$AH$17,U34,0),IF(OFFSET('Coach Card'!$AI$17,U34,0)&lt;&gt;"",V34,""),OFFSET('Coach Card'!$AI$17,U34,0),IF(OFFSET('Coach Card'!$AJ$17,U34,0)&lt;&gt;"",V34,""),OFFSET('Coach Card'!$AJ$17,U34,0),IF(OFFSET('Coach Card'!$AK$17,U34,0)&lt;&gt;"",V34,""),OFFSET('Coach Card'!$AK$17,U34,0),IF(OFFSET('Coach Card'!$AL$17,U34,0)&lt;&gt;"",V34,""),OFFSET('Coach Card'!$AL$17,U34,0),IF(OFFSET('Coach Card'!$AM$17,U34,0)&lt;&gt;"",V34,""),OFFSET('Coach Card'!$AM$17,U34,0)))</f>
        <v/>
      </c>
      <c r="G34" s="348"/>
      <c r="H34" s="348"/>
      <c r="I34" s="348"/>
      <c r="J34" s="348"/>
      <c r="K34" s="348"/>
      <c r="L34" s="348"/>
      <c r="M34" s="348"/>
      <c r="N34" s="348"/>
      <c r="O34" s="348"/>
      <c r="P34" s="348"/>
      <c r="Q34" s="349"/>
      <c r="R34" s="173" t="str">
        <f ca="1">IF(OR(LEFT(B34,4)="Acro",LEFT(B34,1)="T",LEFT(B34,1)=""),"",IF(OFFSET('Coach Card'!$AN$17,U34,0)="","",OFFSET('Coach Card'!$AN$17,U34,0)))</f>
        <v/>
      </c>
      <c r="S34" s="174" t="str">
        <f ca="1">IF(OFFSET('Coach Card'!$AO$18,U34,0)=0,"",OFFSET('Coach Card'!$AO$18,U34,0))</f>
        <v/>
      </c>
      <c r="T34" s="194"/>
      <c r="U34" s="221">
        <v>38</v>
      </c>
      <c r="V34" s="125" t="str">
        <f ca="1">IF(OFFSET('Coach Card'!$W$17,U34,0)&lt;&gt;"","-"," - ")</f>
        <v xml:space="preserve"> - </v>
      </c>
      <c r="W34" s="125">
        <v>36</v>
      </c>
      <c r="X34" s="125" t="str">
        <f ca="1">IF(OFFSET('Coach Card'!$BA$19,W34,0)="X","X","")</f>
        <v/>
      </c>
    </row>
    <row r="35" spans="1:24" ht="22" customHeight="1" x14ac:dyDescent="0.35">
      <c r="A35" s="108" t="str">
        <f>IFERROR(IF('Coach Card'!D57&lt;&gt;"",IF('Coach Card'!C57&lt;&gt;"",CONCATENATE("0",'Coach Card'!A57,":",IF('Coach Card'!B57&lt;10,CONCATENATE("0",'Coach Card'!B57),'Coach Card'!B57)," - 0",'Coach Card'!C57,":",IF('Coach Card'!D57&lt;10,CONCATENATE("0",'Coach Card'!D57),'Coach Card'!D57)),""),""),"")</f>
        <v/>
      </c>
      <c r="B35" s="108" t="str">
        <f ca="1">IF(OFFSET('Coach Card'!$F$17,U35,0)="Transition","Transition",IF(OFFSET('Coach Card'!$F$17,U35,0)="Transition - Surface Connection","SuCon",IF(OFFSET('Coach Card'!$F$17,U35,0)="Hybrid - Thrust + 2 connections","Req.Hybrid",IF(LEFT(OFFSET('Coach Card'!$F$17,U35,0),4)="Hybr","Hybrid",IF(LEFT(OFFSET('Coach Card'!$F$17,U35,0),4)="Acro",IF(RIGHT(OFFSET('Coach Card'!$F$17,U35,0),4)="Pair","Pair Acro","Acrobatic"),IF(LEFT(OFFSET('Coach Card'!$F$17,U35,0),4)="Tech","TRE",""))))))</f>
        <v/>
      </c>
      <c r="C35" s="358" t="str">
        <f ca="1">IF(OFFSET('Coach Card'!$G$17,U35,0)&gt;0,OFFSET('Coach Card'!$G$17,U35,0),"")</f>
        <v/>
      </c>
      <c r="D35" s="359"/>
      <c r="E35" s="108" t="str">
        <f ca="1">IF(OFFSET('Coach Card'!$H$17,U35,0)&gt;0,IF(OR(B35="Transition",F35="ChoHY",B35="SuCon"),"",OFFSET('Coach Card'!$H$17,U35,0)),"")</f>
        <v/>
      </c>
      <c r="F35" s="347" t="str">
        <f ca="1">IF(B35="SuCon","SuCon",CONCATENATE(IF(B35="Acrobatic",CONCATENATE(RIGHT(OFFSET('Coach Card'!$H$18,U35,0),1),V35),""),OFFSET('Coach Card'!$J$17,U35,0),IF(OFFSET('Coach Card'!$K$17,U35,0)&lt;&gt;"",V35,""),OFFSET('Coach Card'!$K$17,U35,0),IF(OFFSET('Coach Card'!$L$17,U35,0)&lt;&gt;"",V35,""),OFFSET('Coach Card'!$L$17,U35,0),IF(OFFSET('Coach Card'!$M$17,U35,0)&lt;&gt;"",V35,""),OFFSET('Coach Card'!$M$17,U35,0),IF(OFFSET('Coach Card'!$N$17,U35,0)&lt;&gt;"",IF(AND(LEFT(OFFSET('Coach Card'!$N$17,U35,0),1)="2",B35="Acrobatic"),"/",V35),""),OFFSET('Coach Card'!$N$17,U35,0),IF(OFFSET('Coach Card'!$O$17,U35,0)&lt;&gt;"",IF(AND(LEFT(OFFSET('Coach Card'!$O$17,U35,0),1)="2",B35="Acrobatic"),"/",V35),""),OFFSET('Coach Card'!$O$17,U35,0),IF(OFFSET('Coach Card'!$P$17,U35,0)&lt;&gt;"",V35,""),OFFSET('Coach Card'!$P$17,U35,0),IF(OFFSET('Coach Card'!$Q$17,U35,0)&lt;&gt;"",IF(LEFT(B35,4)="Acro"," + ",V35),""),OFFSET('Coach Card'!$Q$17,U35,0),IF(OFFSET('Coach Card'!$R$17,U35,0)&lt;&gt;"",IF(LEFT(B35,4)="Acro","/",V35),""),OFFSET('Coach Card'!$R$17,U35,0),IF(OFFSET('Coach Card'!$S$17,U35,0)&lt;&gt;"",V35,""),OFFSET('Coach Card'!$S$17,U35,0),IF(OFFSET('Coach Card'!$T$17,U35,0)&lt;&gt;"",V35,""),OFFSET('Coach Card'!$T$17,U35,0),IF(OFFSET('Coach Card'!$U$17,U35,0)&lt;&gt;"",V35,""),OFFSET('Coach Card'!$U$17,U35,0),IF(OFFSET('Coach Card'!$V$17,U35,0)&lt;&gt;"",V35,""),OFFSET('Coach Card'!$V$17,U35,0),IF(OFFSET('Coach Card'!$W$17,U35,0)&lt;&gt;"",V35,""),OFFSET('Coach Card'!$W$17,U35,0),IF(OFFSET('Coach Card'!$X$17,U35,0)&lt;&gt;"",V35,""),OFFSET('Coach Card'!$X$17,U35,0),IF(OFFSET('Coach Card'!$Y$17,U35,0)&lt;&gt;"",V35,""),OFFSET('Coach Card'!$Y$17,U35,0),IF(OFFSET('Coach Card'!$Z$17,U35,0)&lt;&gt;"",V35,""),OFFSET('Coach Card'!$Z$17,U35,0),IF(OFFSET('Coach Card'!$AA$17,U35,0)&lt;&gt;"",V35,""),OFFSET('Coach Card'!$AA$17,U35,0),IF(OFFSET('Coach Card'!$AB$17,U35,0)&lt;&gt;"",V35,""),OFFSET('Coach Card'!$AB$17,U35,0),IF(OFFSET('Coach Card'!$AC$17,U35,0)&lt;&gt;"",V35,""),OFFSET('Coach Card'!$AC$17,U35,0),IF(OFFSET('Coach Card'!$AD$17,U35,0)&lt;&gt;"",V35,""),OFFSET('Coach Card'!$AD$17,U35,0),IF(OFFSET('Coach Card'!$AE$17,U35,0)&lt;&gt;"",V35,""),OFFSET('Coach Card'!$AE$17,U35,0),IF(OFFSET('Coach Card'!$AF$17,U35,0)&lt;&gt;"",V35,""),OFFSET('Coach Card'!$AF$17,U35,0),IF(OFFSET('Coach Card'!$AG$17,U35,0)&lt;&gt;"",V35,""),OFFSET('Coach Card'!$AG$17,U35,0),IF(OFFSET('Coach Card'!$AH$17,U35,0)&lt;&gt;"",V35,""),OFFSET('Coach Card'!$AH$17,U35,0),IF(OFFSET('Coach Card'!$AI$17,U35,0)&lt;&gt;"",V35,""),OFFSET('Coach Card'!$AI$17,U35,0),IF(OFFSET('Coach Card'!$AJ$17,U35,0)&lt;&gt;"",V35,""),OFFSET('Coach Card'!$AJ$17,U35,0),IF(OFFSET('Coach Card'!$AK$17,U35,0)&lt;&gt;"",V35,""),OFFSET('Coach Card'!$AK$17,U35,0),IF(OFFSET('Coach Card'!$AL$17,U35,0)&lt;&gt;"",V35,""),OFFSET('Coach Card'!$AL$17,U35,0),IF(OFFSET('Coach Card'!$AM$17,U35,0)&lt;&gt;"",V35,""),OFFSET('Coach Card'!$AM$17,U35,0)))</f>
        <v/>
      </c>
      <c r="G35" s="348"/>
      <c r="H35" s="348"/>
      <c r="I35" s="348"/>
      <c r="J35" s="348"/>
      <c r="K35" s="348"/>
      <c r="L35" s="348"/>
      <c r="M35" s="348"/>
      <c r="N35" s="348"/>
      <c r="O35" s="348"/>
      <c r="P35" s="348"/>
      <c r="Q35" s="349"/>
      <c r="R35" s="173" t="str">
        <f ca="1">IF(OR(LEFT(B35,4)="Acro",LEFT(B35,1)="T",LEFT(B35,1)=""),"",IF(OFFSET('Coach Card'!$AN$17,U35,0)="","",OFFSET('Coach Card'!$AN$17,U35,0)))</f>
        <v/>
      </c>
      <c r="S35" s="174" t="str">
        <f ca="1">IF(OFFSET('Coach Card'!$AO$18,U35,0)=0,"",OFFSET('Coach Card'!$AO$18,U35,0))</f>
        <v/>
      </c>
      <c r="T35" s="194"/>
      <c r="U35" s="221">
        <v>40</v>
      </c>
      <c r="V35" s="125" t="str">
        <f ca="1">IF(OFFSET('Coach Card'!$W$17,U35,0)&lt;&gt;"","-"," - ")</f>
        <v xml:space="preserve"> - </v>
      </c>
      <c r="W35" s="125">
        <v>38</v>
      </c>
      <c r="X35" s="125" t="str">
        <f ca="1">IF(OFFSET('Coach Card'!$BA$19,W35,0)="X","X","")</f>
        <v/>
      </c>
    </row>
    <row r="36" spans="1:24" ht="25" hidden="1" customHeight="1" x14ac:dyDescent="0.35">
      <c r="A36" s="108" t="str">
        <f>IFERROR(IF('Coach Card'!D59&lt;&gt;"",IF('Coach Card'!C59&lt;&gt;"",CONCATENATE("0",'Coach Card'!A59,":",IF('Coach Card'!B59&lt;10,CONCATENATE("0",'Coach Card'!B59),'Coach Card'!B59)," - 0",'Coach Card'!C59,":",IF('Coach Card'!D59&lt;10,CONCATENATE("0",'Coach Card'!D59),'Coach Card'!D59)),""),""),"")</f>
        <v/>
      </c>
      <c r="B36" s="108" t="str">
        <f ca="1">IF(OFFSET('Coach Card'!$F$17,U36,0)="Transition","Transition",IF(OFFSET('Coach Card'!$F$17,U36,0)="Transition - Surface Connection","SuCon",IF(OFFSET('Coach Card'!$F$17,U36,0)="Hybrid - Thrust + 2 connections","Req.Hybrid",IF(LEFT(OFFSET('Coach Card'!$F$17,U36,0),4)="Hybr","Hybrid",IF(LEFT(OFFSET('Coach Card'!$F$17,U36,0),4)="Acro",IF(RIGHT(OFFSET('Coach Card'!$F$17,U36,0),4)="Pair","Pair Acro","Acrobatic"),IF(LEFT(OFFSET('Coach Card'!$F$17,U36,0),4)="Tech","TRE",""))))))</f>
        <v/>
      </c>
      <c r="C36" s="358" t="str">
        <f ca="1">IF(OFFSET('Coach Card'!$G$17,U36,0)&gt;0,OFFSET('Coach Card'!$G$17,U36,0),"")</f>
        <v/>
      </c>
      <c r="D36" s="359"/>
      <c r="E36" s="108" t="str">
        <f ca="1">IF(OFFSET('Coach Card'!$H$17,U36,0)&gt;0,IF(B36="Transition","",OFFSET('Coach Card'!$H$17,U36,0)),"")</f>
        <v/>
      </c>
      <c r="F36" s="212" t="str">
        <f ca="1">CONCATENATE(IF(B36="Acrobatic",CONCATENATE(RIGHT(OFFSET('Coach Card'!$H$18,U36,0),1),"-"),""),OFFSET('Coach Card'!$J$17,U36,0),IF(OFFSET('Coach Card'!$K$17,U36,0)&lt;&gt;"","-",""),OFFSET('Coach Card'!$K$17,U36,0),IF(OFFSET('Coach Card'!$L$17,U36,0)&lt;&gt;"","-",""),OFFSET('Coach Card'!$L$17,U36,0),IF(OFFSET('Coach Card'!$M$17,U36,0)&lt;&gt;"","-",""),OFFSET('Coach Card'!$M$17,U36,0),IF(AND(OFFSET('Coach Card'!$N$17,U36,0)&lt;&gt;"",RIGHT(OFFSET('Coach Card'!$M$17,U36,0),1)&lt;&gt;"+"),IF(LEFT(OFFSET('Coach Card'!$N$17,U36,0),1)="2","/","-"),""),OFFSET('Coach Card'!$N$17,U36,0),IF(OFFSET('Coach Card'!$O$17,U36,0)&lt;&gt;"",IF(LEFT(OFFSET('Coach Card'!$O$17,U36,0),1)="2","/","-"),""),OFFSET('Coach Card'!$O$17,U36,0),IF(OFFSET('Coach Card'!$P$17,U36,0)&lt;&gt;"","-",""),OFFSET('Coach Card'!$P$17,U36,0),IF(OFFSET('Coach Card'!$Q$17,U36,0)&lt;&gt;"","-",""),OFFSET('Coach Card'!$Q$17,U36,0),IF(OFFSET('Coach Card'!$R$17,U36,0)&lt;&gt;"",IF(LEFT(B36,4)="Acro","/","-"),""),OFFSET('Coach Card'!$R$17,U36,0),IF(OFFSET('Coach Card'!$S$17,U36,0)&lt;&gt;"","-",""),OFFSET('Coach Card'!$S$17,U36,0),IF(OFFSET('Coach Card'!$T$17,U36,0)&lt;&gt;"","-",""),OFFSET('Coach Card'!$T$17,U36,0),IF(OFFSET('Coach Card'!$U$17,U36,0)&lt;&gt;"","-",""),OFFSET('Coach Card'!$U$17,U36,0),IF(OFFSET('Coach Card'!$V$17,U36,0)&lt;&gt;"","-",""),OFFSET('Coach Card'!$V$17,U36,0),IF(OFFSET('Coach Card'!$W$17,U36,0)&lt;&gt;"","-",""),OFFSET('Coach Card'!$W$17,U36,0),IF(OFFSET('Coach Card'!$X$17,U36,0)&lt;&gt;"","-",""),OFFSET('Coach Card'!$X$17,U36,0),IF(OFFSET('Coach Card'!$Y$17,U36,0)&lt;&gt;"","-",""),OFFSET('Coach Card'!$Y$17,U36,0),IF(OFFSET('Coach Card'!$Z$17,U36,0)&lt;&gt;"","-",""),OFFSET('Coach Card'!$Z$17,U36,0),IF(OFFSET('Coach Card'!$AA$17,U36,0)&lt;&gt;"","-",""),OFFSET('Coach Card'!$AA$17,U36,0),IF(OFFSET('Coach Card'!$AB$17,U36,0)&lt;&gt;"","-",""),OFFSET('Coach Card'!$AB$17,U36,0),IF(OFFSET('Coach Card'!$AC$17,U36,0)&lt;&gt;"","-",""),OFFSET('Coach Card'!$AC$17,U36,0),IF(OFFSET('Coach Card'!$AD$17,U36,0)&lt;&gt;"","-",""),OFFSET('Coach Card'!$AD$17,U36,0),IF(OFFSET('Coach Card'!$AE$17,U36,0)&lt;&gt;"","-",""),OFFSET('Coach Card'!$AE$17,U36,0),IF(OFFSET('Coach Card'!$AF$17,U36,0)&lt;&gt;"","-",""),OFFSET('Coach Card'!$AF$17,U36,0),IF(OFFSET('Coach Card'!$AG$17,U36,0)&lt;&gt;"","-",""),OFFSET('Coach Card'!$AG$17,U36,0),IF(OFFSET('Coach Card'!$AH$17,U36,0)&lt;&gt;"","-",""),OFFSET('Coach Card'!$AH$17,U36,0),IF(OFFSET('Coach Card'!$AI$17,U36,0)&lt;&gt;"","-",""),OFFSET('Coach Card'!$AI$17,U36,0),IF(OFFSET('Coach Card'!$AJ$17,U36,0)&lt;&gt;"","-",""),OFFSET('Coach Card'!$AJ$17,U36,0),IF(OFFSET('Coach Card'!$AK$17,U36,0)&lt;&gt;"","-",""),OFFSET('Coach Card'!$AK$17,U36,0),IF(OFFSET('Coach Card'!$AL$17,U36,0)&lt;&gt;"","-",""),OFFSET('Coach Card'!$AL$17,U36,0),IF(OFFSET('Coach Card'!$AM$17,U36,0)&lt;&gt;"","-",""),OFFSET('Coach Card'!$AM$17,U36,0))</f>
        <v/>
      </c>
      <c r="G36" s="213"/>
      <c r="H36" s="213"/>
      <c r="I36" s="213"/>
      <c r="J36" s="213"/>
      <c r="K36" s="213"/>
      <c r="L36" s="213"/>
      <c r="M36" s="213"/>
      <c r="N36" s="213"/>
      <c r="O36" s="213"/>
      <c r="P36" s="213"/>
      <c r="Q36" s="214"/>
      <c r="R36" s="173" t="str">
        <f ca="1">IF(OR(LEFT(B36,4)="Acro",LEFT(B36,1)="T",LEFT(B36,1)=""),"",IF(OFFSET('Coach Card'!$AN$17,U36,0)="","",OFFSET('Coach Card'!$AN$17,U36,0)))</f>
        <v/>
      </c>
      <c r="S36" s="174" t="str">
        <f ca="1">IF(OFFSET('Coach Card'!$AO$18,U36,0)=0,"",OFFSET('Coach Card'!$AO$18,U36,0))</f>
        <v/>
      </c>
      <c r="T36" s="194"/>
      <c r="U36" s="221">
        <v>42</v>
      </c>
    </row>
    <row r="37" spans="1:24" ht="25" hidden="1" customHeight="1" x14ac:dyDescent="0.35">
      <c r="A37" s="108" t="str">
        <f>IFERROR(IF('Coach Card'!D61&lt;&gt;"",IF('Coach Card'!C61&lt;&gt;"",CONCATENATE("0",'Coach Card'!A61,":",IF('Coach Card'!B61&lt;10,CONCATENATE("0",'Coach Card'!B61),'Coach Card'!B61)," - 0",'Coach Card'!C61,":",IF('Coach Card'!D61&lt;10,CONCATENATE("0",'Coach Card'!D61),'Coach Card'!D61)),""),""),"")</f>
        <v/>
      </c>
      <c r="B37" s="108" t="str">
        <f ca="1">IF(OFFSET('Coach Card'!$F$17,U37,0)="Transition","Transition",IF(OFFSET('Coach Card'!$F$17,U37,0)="Transition - Surface Connection","SuCon",IF(OFFSET('Coach Card'!$F$17,U37,0)="Hybrid - Thrust + 2 connections","Req.Hybrid",IF(LEFT(OFFSET('Coach Card'!$F$17,U37,0),4)="Hybr","Hybrid",IF(LEFT(OFFSET('Coach Card'!$F$17,U37,0),4)="Acro",IF(RIGHT(OFFSET('Coach Card'!$F$17,U37,0),4)="Pair","Pair Acro","Acrobatic"),IF(LEFT(OFFSET('Coach Card'!$F$17,U37,0),4)="Tech","TRE",""))))))</f>
        <v/>
      </c>
      <c r="C37" s="358" t="str">
        <f ca="1">IF(OFFSET('Coach Card'!$G$17,U37,0)&gt;0,OFFSET('Coach Card'!$G$17,U37,0),"")</f>
        <v/>
      </c>
      <c r="D37" s="359"/>
      <c r="E37" s="108" t="str">
        <f ca="1">IF(OFFSET('Coach Card'!$H$17,U37,0)&gt;0,IF(B37="Transition","",OFFSET('Coach Card'!$H$17,U37,0)),"")</f>
        <v/>
      </c>
      <c r="F37" s="212" t="str">
        <f ca="1">CONCATENATE(IF(B37="Acrobatic",CONCATENATE(RIGHT(OFFSET('Coach Card'!$H$18,U37,0),1),"-"),""),OFFSET('Coach Card'!$J$17,U37,0),IF(OFFSET('Coach Card'!$K$17,U37,0)&lt;&gt;"","-",""),OFFSET('Coach Card'!$K$17,U37,0),IF(OFFSET('Coach Card'!$L$17,U37,0)&lt;&gt;"","-",""),OFFSET('Coach Card'!$L$17,U37,0),IF(OFFSET('Coach Card'!$M$17,U37,0)&lt;&gt;"","-",""),OFFSET('Coach Card'!$M$17,U37,0),IF(AND(OFFSET('Coach Card'!$N$17,U37,0)&lt;&gt;"",RIGHT(OFFSET('Coach Card'!$M$17,U37,0),1)&lt;&gt;"+"),IF(LEFT(OFFSET('Coach Card'!$N$17,U37,0),1)="2","/","-"),""),OFFSET('Coach Card'!$N$17,U37,0),IF(OFFSET('Coach Card'!$O$17,U37,0)&lt;&gt;"",IF(LEFT(OFFSET('Coach Card'!$O$17,U37,0),1)="2","/","-"),""),OFFSET('Coach Card'!$O$17,U37,0),IF(OFFSET('Coach Card'!$P$17,U37,0)&lt;&gt;"","-",""),OFFSET('Coach Card'!$P$17,U37,0),IF(OFFSET('Coach Card'!$Q$17,U37,0)&lt;&gt;"","-",""),OFFSET('Coach Card'!$Q$17,U37,0),IF(OFFSET('Coach Card'!$R$17,U37,0)&lt;&gt;"",IF(LEFT(B37,4)="Acro","/","-"),""),OFFSET('Coach Card'!$R$17,U37,0),IF(OFFSET('Coach Card'!$S$17,U37,0)&lt;&gt;"","-",""),OFFSET('Coach Card'!$S$17,U37,0),IF(OFFSET('Coach Card'!$T$17,U37,0)&lt;&gt;"","-",""),OFFSET('Coach Card'!$T$17,U37,0),IF(OFFSET('Coach Card'!$U$17,U37,0)&lt;&gt;"","-",""),OFFSET('Coach Card'!$U$17,U37,0),IF(OFFSET('Coach Card'!$V$17,U37,0)&lt;&gt;"","-",""),OFFSET('Coach Card'!$V$17,U37,0),IF(OFFSET('Coach Card'!$W$17,U37,0)&lt;&gt;"","-",""),OFFSET('Coach Card'!$W$17,U37,0),IF(OFFSET('Coach Card'!$X$17,U37,0)&lt;&gt;"","-",""),OFFSET('Coach Card'!$X$17,U37,0),IF(OFFSET('Coach Card'!$Y$17,U37,0)&lt;&gt;"","-",""),OFFSET('Coach Card'!$Y$17,U37,0),IF(OFFSET('Coach Card'!$Z$17,U37,0)&lt;&gt;"","-",""),OFFSET('Coach Card'!$Z$17,U37,0),IF(OFFSET('Coach Card'!$AA$17,U37,0)&lt;&gt;"","-",""),OFFSET('Coach Card'!$AA$17,U37,0),IF(OFFSET('Coach Card'!$AB$17,U37,0)&lt;&gt;"","-",""),OFFSET('Coach Card'!$AB$17,U37,0),IF(OFFSET('Coach Card'!$AC$17,U37,0)&lt;&gt;"","-",""),OFFSET('Coach Card'!$AC$17,U37,0),IF(OFFSET('Coach Card'!$AD$17,U37,0)&lt;&gt;"","-",""),OFFSET('Coach Card'!$AD$17,U37,0),IF(OFFSET('Coach Card'!$AE$17,U37,0)&lt;&gt;"","-",""),OFFSET('Coach Card'!$AE$17,U37,0),IF(OFFSET('Coach Card'!$AF$17,U37,0)&lt;&gt;"","-",""),OFFSET('Coach Card'!$AF$17,U37,0),IF(OFFSET('Coach Card'!$AG$17,U37,0)&lt;&gt;"","-",""),OFFSET('Coach Card'!$AG$17,U37,0),IF(OFFSET('Coach Card'!$AH$17,U37,0)&lt;&gt;"","-",""),OFFSET('Coach Card'!$AH$17,U37,0),IF(OFFSET('Coach Card'!$AI$17,U37,0)&lt;&gt;"","-",""),OFFSET('Coach Card'!$AI$17,U37,0),IF(OFFSET('Coach Card'!$AJ$17,U37,0)&lt;&gt;"","-",""),OFFSET('Coach Card'!$AJ$17,U37,0),IF(OFFSET('Coach Card'!$AK$17,U37,0)&lt;&gt;"","-",""),OFFSET('Coach Card'!$AK$17,U37,0),IF(OFFSET('Coach Card'!$AL$17,U37,0)&lt;&gt;"","-",""),OFFSET('Coach Card'!$AL$17,U37,0),IF(OFFSET('Coach Card'!$AM$17,U37,0)&lt;&gt;"","-",""),OFFSET('Coach Card'!$AM$17,U37,0))</f>
        <v/>
      </c>
      <c r="G37" s="213"/>
      <c r="H37" s="213"/>
      <c r="I37" s="213"/>
      <c r="J37" s="213"/>
      <c r="K37" s="213"/>
      <c r="L37" s="213"/>
      <c r="M37" s="213"/>
      <c r="N37" s="213"/>
      <c r="O37" s="213"/>
      <c r="P37" s="213"/>
      <c r="Q37" s="214"/>
      <c r="R37" s="173" t="str">
        <f ca="1">IF(OR(LEFT(B37,4)="Acro",LEFT(B37,1)="T",LEFT(B37,1)=""),"",IF(OFFSET('Coach Card'!$AN$17,U37,0)="","",OFFSET('Coach Card'!$AN$17,U37,0)))</f>
        <v/>
      </c>
      <c r="S37" s="174" t="str">
        <f ca="1">IF(OFFSET('Coach Card'!$AO$18,U37,0)=0,"",OFFSET('Coach Card'!$AO$18,U37,0))</f>
        <v/>
      </c>
      <c r="T37" s="194"/>
      <c r="U37" s="221">
        <v>44</v>
      </c>
    </row>
    <row r="38" spans="1:24" ht="25" hidden="1" customHeight="1" x14ac:dyDescent="0.35">
      <c r="A38" s="108" t="str">
        <f>IFERROR(IF('Coach Card'!D63&lt;&gt;"",IF('Coach Card'!C63&lt;&gt;"",CONCATENATE("0",'Coach Card'!A63,":",IF('Coach Card'!B63&lt;10,CONCATENATE("0",'Coach Card'!B63),'Coach Card'!B63)," - 0",'Coach Card'!C63,":",IF('Coach Card'!D63&lt;10,CONCATENATE("0",'Coach Card'!D63),'Coach Card'!D63)),""),""),"")</f>
        <v/>
      </c>
      <c r="B38" s="108" t="str">
        <f ca="1">IF(OFFSET('Coach Card'!$F$17,U38,0)="Transition","Transition",IF(OFFSET('Coach Card'!$F$17,U38,0)="Transition - Surface Connection","SuCon",IF(OFFSET('Coach Card'!$F$17,U38,0)="Hybrid - Thrust + 2 connections","Req.Hybrid",IF(LEFT(OFFSET('Coach Card'!$F$17,U38,0),4)="Hybr","Hybrid",IF(LEFT(OFFSET('Coach Card'!$F$17,U38,0),4)="Acro",IF(RIGHT(OFFSET('Coach Card'!$F$17,U38,0),4)="Pair","Pair Acro","Acrobatic"),IF(LEFT(OFFSET('Coach Card'!$F$17,U38,0),4)="Tech","TRE",""))))))</f>
        <v/>
      </c>
      <c r="C38" s="358" t="str">
        <f ca="1">IF(OFFSET('Coach Card'!$G$17,U38,0)&gt;0,OFFSET('Coach Card'!$G$17,U38,0),"")</f>
        <v/>
      </c>
      <c r="D38" s="359"/>
      <c r="E38" s="108" t="str">
        <f ca="1">IF(OFFSET('Coach Card'!$H$17,U38,0)&gt;0,IF(B38="Transition","",OFFSET('Coach Card'!$H$17,U38,0)),"")</f>
        <v/>
      </c>
      <c r="F38" s="212" t="str">
        <f ca="1">CONCATENATE(IF(B38="Acrobatic",CONCATENATE(RIGHT(OFFSET('Coach Card'!$H$18,U38,0),1),"-"),""),OFFSET('Coach Card'!$J$17,U38,0),IF(OFFSET('Coach Card'!$K$17,U38,0)&lt;&gt;"","-",""),OFFSET('Coach Card'!$K$17,U38,0),IF(OFFSET('Coach Card'!$L$17,U38,0)&lt;&gt;"","-",""),OFFSET('Coach Card'!$L$17,U38,0),IF(OFFSET('Coach Card'!$M$17,U38,0)&lt;&gt;"","-",""),OFFSET('Coach Card'!$M$17,U38,0),IF(AND(OFFSET('Coach Card'!$N$17,U38,0)&lt;&gt;"",RIGHT(OFFSET('Coach Card'!$M$17,U38,0),1)&lt;&gt;"+"),IF(LEFT(OFFSET('Coach Card'!$N$17,U38,0),1)="2","/","-"),""),OFFSET('Coach Card'!$N$17,U38,0),IF(OFFSET('Coach Card'!$O$17,U38,0)&lt;&gt;"",IF(LEFT(OFFSET('Coach Card'!$O$17,U38,0),1)="2","/","-"),""),OFFSET('Coach Card'!$O$17,U38,0),IF(OFFSET('Coach Card'!$P$17,U38,0)&lt;&gt;"","-",""),OFFSET('Coach Card'!$P$17,U38,0),IF(OFFSET('Coach Card'!$Q$17,U38,0)&lt;&gt;"","-",""),OFFSET('Coach Card'!$Q$17,U38,0),IF(OFFSET('Coach Card'!$R$17,U38,0)&lt;&gt;"",IF(LEFT(B38,4)="Acro","/","-"),""),OFFSET('Coach Card'!$R$17,U38,0),IF(OFFSET('Coach Card'!$S$17,U38,0)&lt;&gt;"","-",""),OFFSET('Coach Card'!$S$17,U38,0),IF(OFFSET('Coach Card'!$T$17,U38,0)&lt;&gt;"","-",""),OFFSET('Coach Card'!$T$17,U38,0),IF(OFFSET('Coach Card'!$U$17,U38,0)&lt;&gt;"","-",""),OFFSET('Coach Card'!$U$17,U38,0),IF(OFFSET('Coach Card'!$V$17,U38,0)&lt;&gt;"","-",""),OFFSET('Coach Card'!$V$17,U38,0),IF(OFFSET('Coach Card'!$W$17,U38,0)&lt;&gt;"","-",""),OFFSET('Coach Card'!$W$17,U38,0),IF(OFFSET('Coach Card'!$X$17,U38,0)&lt;&gt;"","-",""),OFFSET('Coach Card'!$X$17,U38,0),IF(OFFSET('Coach Card'!$Y$17,U38,0)&lt;&gt;"","-",""),OFFSET('Coach Card'!$Y$17,U38,0),IF(OFFSET('Coach Card'!$Z$17,U38,0)&lt;&gt;"","-",""),OFFSET('Coach Card'!$Z$17,U38,0),IF(OFFSET('Coach Card'!$AA$17,U38,0)&lt;&gt;"","-",""),OFFSET('Coach Card'!$AA$17,U38,0),IF(OFFSET('Coach Card'!$AB$17,U38,0)&lt;&gt;"","-",""),OFFSET('Coach Card'!$AB$17,U38,0),IF(OFFSET('Coach Card'!$AC$17,U38,0)&lt;&gt;"","-",""),OFFSET('Coach Card'!$AC$17,U38,0),IF(OFFSET('Coach Card'!$AD$17,U38,0)&lt;&gt;"","-",""),OFFSET('Coach Card'!$AD$17,U38,0),IF(OFFSET('Coach Card'!$AE$17,U38,0)&lt;&gt;"","-",""),OFFSET('Coach Card'!$AE$17,U38,0),IF(OFFSET('Coach Card'!$AF$17,U38,0)&lt;&gt;"","-",""),OFFSET('Coach Card'!$AF$17,U38,0),IF(OFFSET('Coach Card'!$AG$17,U38,0)&lt;&gt;"","-",""),OFFSET('Coach Card'!$AG$17,U38,0),IF(OFFSET('Coach Card'!$AH$17,U38,0)&lt;&gt;"","-",""),OFFSET('Coach Card'!$AH$17,U38,0),IF(OFFSET('Coach Card'!$AI$17,U38,0)&lt;&gt;"","-",""),OFFSET('Coach Card'!$AI$17,U38,0),IF(OFFSET('Coach Card'!$AJ$17,U38,0)&lt;&gt;"","-",""),OFFSET('Coach Card'!$AJ$17,U38,0),IF(OFFSET('Coach Card'!$AK$17,U38,0)&lt;&gt;"","-",""),OFFSET('Coach Card'!$AK$17,U38,0),IF(OFFSET('Coach Card'!$AL$17,U38,0)&lt;&gt;"","-",""),OFFSET('Coach Card'!$AL$17,U38,0),IF(OFFSET('Coach Card'!$AM$17,U38,0)&lt;&gt;"","-",""),OFFSET('Coach Card'!$AM$17,U38,0))</f>
        <v/>
      </c>
      <c r="G38" s="213"/>
      <c r="H38" s="213"/>
      <c r="I38" s="213"/>
      <c r="J38" s="213"/>
      <c r="K38" s="213"/>
      <c r="L38" s="213"/>
      <c r="M38" s="213"/>
      <c r="N38" s="213"/>
      <c r="O38" s="213"/>
      <c r="P38" s="213"/>
      <c r="Q38" s="214"/>
      <c r="R38" s="173" t="str">
        <f ca="1">IF(OR(LEFT(B38,4)="Acro",LEFT(B38,1)="T",LEFT(B38,1)=""),"",IF(OFFSET('Coach Card'!$AN$17,U38,0)="","",OFFSET('Coach Card'!$AN$17,U38,0)))</f>
        <v/>
      </c>
      <c r="S38" s="174" t="str">
        <f ca="1">IF(OFFSET('Coach Card'!$AO$18,U38,0)=0,"",OFFSET('Coach Card'!$AO$18,U38,0))</f>
        <v/>
      </c>
      <c r="T38" s="194"/>
      <c r="U38" s="221">
        <v>46</v>
      </c>
    </row>
    <row r="39" spans="1:24" ht="25" hidden="1" customHeight="1" x14ac:dyDescent="0.35">
      <c r="A39" s="108" t="str">
        <f>IFERROR(IF('Coach Card'!D65&lt;&gt;"",IF('Coach Card'!C65&lt;&gt;"",CONCATENATE("0",'Coach Card'!A65,":",IF('Coach Card'!B65&lt;10,CONCATENATE("0",'Coach Card'!B65),'Coach Card'!B65)," - 0",'Coach Card'!C65,":",IF('Coach Card'!D65&lt;10,CONCATENATE("0",'Coach Card'!D65),'Coach Card'!D65)),""),""),"")</f>
        <v/>
      </c>
      <c r="B39" s="108" t="str">
        <f ca="1">IF(OFFSET('Coach Card'!$F$17,U39,0)="Transition","Transition",IF(OFFSET('Coach Card'!$F$17,U39,0)="Transition - Surface Connection","SuCon",IF(OFFSET('Coach Card'!$F$17,U39,0)="Hybrid - Thrust + 2 connections","Req.Hybrid",IF(LEFT(OFFSET('Coach Card'!$F$17,U39,0),4)="Hybr","Hybrid",IF(LEFT(OFFSET('Coach Card'!$F$17,U39,0),4)="Acro",IF(RIGHT(OFFSET('Coach Card'!$F$17,U39,0),4)="Pair","Pair Acro","Acrobatic"),IF(LEFT(OFFSET('Coach Card'!$F$17,U39,0),4)="Tech","TRE",""))))))</f>
        <v/>
      </c>
      <c r="C39" s="358" t="str">
        <f ca="1">IF(OFFSET('Coach Card'!$G$17,U39,0)&gt;0,OFFSET('Coach Card'!$G$17,U39,0),"")</f>
        <v/>
      </c>
      <c r="D39" s="359"/>
      <c r="E39" s="108" t="str">
        <f ca="1">IF(OFFSET('Coach Card'!$H$17,U39,0)&gt;0,IF(B39="Transition","",OFFSET('Coach Card'!$H$17,U39,0)),"")</f>
        <v/>
      </c>
      <c r="F39" s="212" t="str">
        <f ca="1">CONCATENATE(IF(B39="Acrobatic",CONCATENATE(RIGHT(OFFSET('Coach Card'!$H$18,U39,0),1),"-"),""),OFFSET('Coach Card'!$J$17,U39,0),IF(OFFSET('Coach Card'!$K$17,U39,0)&lt;&gt;"","-",""),OFFSET('Coach Card'!$K$17,U39,0),IF(OFFSET('Coach Card'!$L$17,U39,0)&lt;&gt;"","-",""),OFFSET('Coach Card'!$L$17,U39,0),IF(OFFSET('Coach Card'!$M$17,U39,0)&lt;&gt;"","-",""),OFFSET('Coach Card'!$M$17,U39,0),IF(AND(OFFSET('Coach Card'!$N$17,U39,0)&lt;&gt;"",RIGHT(OFFSET('Coach Card'!$M$17,U39,0),1)&lt;&gt;"+"),IF(LEFT(OFFSET('Coach Card'!$N$17,U39,0),1)="2","/","-"),""),OFFSET('Coach Card'!$N$17,U39,0),IF(OFFSET('Coach Card'!$O$17,U39,0)&lt;&gt;"",IF(LEFT(OFFSET('Coach Card'!$O$17,U39,0),1)="2","/","-"),""),OFFSET('Coach Card'!$O$17,U39,0),IF(OFFSET('Coach Card'!$P$17,U39,0)&lt;&gt;"","-",""),OFFSET('Coach Card'!$P$17,U39,0),IF(OFFSET('Coach Card'!$Q$17,U39,0)&lt;&gt;"","-",""),OFFSET('Coach Card'!$Q$17,U39,0),IF(OFFSET('Coach Card'!$R$17,U39,0)&lt;&gt;"",IF(LEFT(B39,4)="Acro","/","-"),""),OFFSET('Coach Card'!$R$17,U39,0),IF(OFFSET('Coach Card'!$S$17,U39,0)&lt;&gt;"","-",""),OFFSET('Coach Card'!$S$17,U39,0),IF(OFFSET('Coach Card'!$T$17,U39,0)&lt;&gt;"","-",""),OFFSET('Coach Card'!$T$17,U39,0),IF(OFFSET('Coach Card'!$U$17,U39,0)&lt;&gt;"","-",""),OFFSET('Coach Card'!$U$17,U39,0),IF(OFFSET('Coach Card'!$V$17,U39,0)&lt;&gt;"","-",""),OFFSET('Coach Card'!$V$17,U39,0),IF(OFFSET('Coach Card'!$W$17,U39,0)&lt;&gt;"","-",""),OFFSET('Coach Card'!$W$17,U39,0),IF(OFFSET('Coach Card'!$X$17,U39,0)&lt;&gt;"","-",""),OFFSET('Coach Card'!$X$17,U39,0),IF(OFFSET('Coach Card'!$Y$17,U39,0)&lt;&gt;"","-",""),OFFSET('Coach Card'!$Y$17,U39,0),IF(OFFSET('Coach Card'!$Z$17,U39,0)&lt;&gt;"","-",""),OFFSET('Coach Card'!$Z$17,U39,0),IF(OFFSET('Coach Card'!$AA$17,U39,0)&lt;&gt;"","-",""),OFFSET('Coach Card'!$AA$17,U39,0),IF(OFFSET('Coach Card'!$AB$17,U39,0)&lt;&gt;"","-",""),OFFSET('Coach Card'!$AB$17,U39,0),IF(OFFSET('Coach Card'!$AC$17,U39,0)&lt;&gt;"","-",""),OFFSET('Coach Card'!$AC$17,U39,0),IF(OFFSET('Coach Card'!$AD$17,U39,0)&lt;&gt;"","-",""),OFFSET('Coach Card'!$AD$17,U39,0),IF(OFFSET('Coach Card'!$AE$17,U39,0)&lt;&gt;"","-",""),OFFSET('Coach Card'!$AE$17,U39,0),IF(OFFSET('Coach Card'!$AF$17,U39,0)&lt;&gt;"","-",""),OFFSET('Coach Card'!$AF$17,U39,0),IF(OFFSET('Coach Card'!$AG$17,U39,0)&lt;&gt;"","-",""),OFFSET('Coach Card'!$AG$17,U39,0),IF(OFFSET('Coach Card'!$AH$17,U39,0)&lt;&gt;"","-",""),OFFSET('Coach Card'!$AH$17,U39,0),IF(OFFSET('Coach Card'!$AI$17,U39,0)&lt;&gt;"","-",""),OFFSET('Coach Card'!$AI$17,U39,0),IF(OFFSET('Coach Card'!$AJ$17,U39,0)&lt;&gt;"","-",""),OFFSET('Coach Card'!$AJ$17,U39,0),IF(OFFSET('Coach Card'!$AK$17,U39,0)&lt;&gt;"","-",""),OFFSET('Coach Card'!$AK$17,U39,0),IF(OFFSET('Coach Card'!$AL$17,U39,0)&lt;&gt;"","-",""),OFFSET('Coach Card'!$AL$17,U39,0),IF(OFFSET('Coach Card'!$AM$17,U39,0)&lt;&gt;"","-",""),OFFSET('Coach Card'!$AM$17,U39,0))</f>
        <v/>
      </c>
      <c r="G39" s="213"/>
      <c r="H39" s="213"/>
      <c r="I39" s="213"/>
      <c r="J39" s="213"/>
      <c r="K39" s="213"/>
      <c r="L39" s="213"/>
      <c r="M39" s="213"/>
      <c r="N39" s="213"/>
      <c r="O39" s="213"/>
      <c r="P39" s="213"/>
      <c r="Q39" s="214"/>
      <c r="R39" s="173" t="str">
        <f ca="1">IF(OR(LEFT(B39,4)="Acro",LEFT(B39,1)="T",LEFT(B39,1)=""),"",IF(OFFSET('Coach Card'!$AN$17,U39,0)="","",OFFSET('Coach Card'!$AN$17,U39,0)))</f>
        <v/>
      </c>
      <c r="S39" s="174" t="str">
        <f ca="1">IF(OFFSET('Coach Card'!$AO$18,U39,0)=0,"",OFFSET('Coach Card'!$AO$18,U39,0))</f>
        <v/>
      </c>
      <c r="T39" s="194"/>
      <c r="U39" s="221">
        <v>48</v>
      </c>
    </row>
    <row r="40" spans="1:24" ht="25" hidden="1" customHeight="1" x14ac:dyDescent="0.35">
      <c r="A40" s="129" t="str">
        <f>IFERROR(IF('Coach Card'!D67&lt;&gt;"",IF('Coach Card'!C67&lt;&gt;"",CONCATENATE("0",'Coach Card'!A67,":",IF('Coach Card'!B67&lt;10,CONCATENATE("0",'Coach Card'!B67),'Coach Card'!B67)," - 0",'Coach Card'!C67,":",IF('Coach Card'!D67&lt;10,CONCATENATE("0",'Coach Card'!D67),'Coach Card'!D67)),""),""),"")</f>
        <v/>
      </c>
      <c r="B40" s="108" t="str">
        <f ca="1">IF(OFFSET('Coach Card'!$F$17,U40,0)="Transition","Transition",IF(OFFSET('Coach Card'!$F$17,U40,0)="Transition - Surface Connection","SuCon",IF(OFFSET('Coach Card'!$F$17,U40,0)="Hybrid - Thrust + 2 connections","Req.Hybrid",IF(LEFT(OFFSET('Coach Card'!$F$17,U40,0),4)="Hybr","Hybrid",IF(LEFT(OFFSET('Coach Card'!$F$17,U40,0),4)="Acro",IF(RIGHT(OFFSET('Coach Card'!$F$17,U40,0),4)="Pair","Pair Acro","Acrobatic"),IF(LEFT(OFFSET('Coach Card'!$F$17,U40,0),4)="Tech","TRE",""))))))</f>
        <v/>
      </c>
      <c r="C40" s="369" t="str">
        <f ca="1">IF(OFFSET('Coach Card'!$G$17,U40,0)&gt;0,OFFSET('Coach Card'!$G$17,U40,0),"")</f>
        <v/>
      </c>
      <c r="D40" s="370"/>
      <c r="E40" s="108" t="str">
        <f ca="1">IF(OFFSET('Coach Card'!$H$17,U40,0)&gt;0,IF(B40="Transition","",OFFSET('Coach Card'!$H$17,U40,0)),"")</f>
        <v/>
      </c>
      <c r="F40" s="212" t="str">
        <f ca="1">CONCATENATE(IF(B40="Acrobatic",CONCATENATE(RIGHT(OFFSET('Coach Card'!$H$18,U40,0),1),"-"),""),OFFSET('Coach Card'!$J$17,U40,0),IF(OFFSET('Coach Card'!$K$17,U40,0)&lt;&gt;"","-",""),OFFSET('Coach Card'!$K$17,U40,0),IF(OFFSET('Coach Card'!$L$17,U40,0)&lt;&gt;"","-",""),OFFSET('Coach Card'!$L$17,U40,0),IF(OFFSET('Coach Card'!$M$17,U40,0)&lt;&gt;"","-",""),OFFSET('Coach Card'!$M$17,U40,0),IF(AND(OFFSET('Coach Card'!$N$17,U40,0)&lt;&gt;"",RIGHT(OFFSET('Coach Card'!$M$17,U40,0),1)&lt;&gt;"+"),IF(LEFT(OFFSET('Coach Card'!$N$17,U40,0),1)="2","/","-"),""),OFFSET('Coach Card'!$N$17,U40,0),IF(OFFSET('Coach Card'!$O$17,U40,0)&lt;&gt;"",IF(LEFT(OFFSET('Coach Card'!$O$17,U40,0),1)="2","/","-"),""),OFFSET('Coach Card'!$O$17,U40,0),IF(OFFSET('Coach Card'!$P$17,U40,0)&lt;&gt;"","-",""),OFFSET('Coach Card'!$P$17,U40,0),IF(OFFSET('Coach Card'!$Q$17,U40,0)&lt;&gt;"","-",""),OFFSET('Coach Card'!$Q$17,U40,0),IF(OFFSET('Coach Card'!$R$17,U40,0)&lt;&gt;"",IF(LEFT(B40,4)="Acro","/","-"),""),OFFSET('Coach Card'!$R$17,U40,0),IF(OFFSET('Coach Card'!$S$17,U40,0)&lt;&gt;"","-",""),OFFSET('Coach Card'!$S$17,U40,0),IF(OFFSET('Coach Card'!$T$17,U40,0)&lt;&gt;"","-",""),OFFSET('Coach Card'!$T$17,U40,0),IF(OFFSET('Coach Card'!$U$17,U40,0)&lt;&gt;"","-",""),OFFSET('Coach Card'!$U$17,U40,0),IF(OFFSET('Coach Card'!$V$17,U40,0)&lt;&gt;"","-",""),OFFSET('Coach Card'!$V$17,U40,0),IF(OFFSET('Coach Card'!$W$17,U40,0)&lt;&gt;"","-",""),OFFSET('Coach Card'!$W$17,U40,0),IF(OFFSET('Coach Card'!$X$17,U40,0)&lt;&gt;"","-",""),OFFSET('Coach Card'!$X$17,U40,0),IF(OFFSET('Coach Card'!$Y$17,U40,0)&lt;&gt;"","-",""),OFFSET('Coach Card'!$Y$17,U40,0),IF(OFFSET('Coach Card'!$Z$17,U40,0)&lt;&gt;"","-",""),OFFSET('Coach Card'!$Z$17,U40,0),IF(OFFSET('Coach Card'!$AA$17,U40,0)&lt;&gt;"","-",""),OFFSET('Coach Card'!$AA$17,U40,0),IF(OFFSET('Coach Card'!$AB$17,U40,0)&lt;&gt;"","-",""),OFFSET('Coach Card'!$AB$17,U40,0),IF(OFFSET('Coach Card'!$AC$17,U40,0)&lt;&gt;"","-",""),OFFSET('Coach Card'!$AC$17,U40,0),IF(OFFSET('Coach Card'!$AD$17,U40,0)&lt;&gt;"","-",""),OFFSET('Coach Card'!$AD$17,U40,0),IF(OFFSET('Coach Card'!$AE$17,U40,0)&lt;&gt;"","-",""),OFFSET('Coach Card'!$AE$17,U40,0),IF(OFFSET('Coach Card'!$AF$17,U40,0)&lt;&gt;"","-",""),OFFSET('Coach Card'!$AF$17,U40,0),IF(OFFSET('Coach Card'!$AG$17,U40,0)&lt;&gt;"","-",""),OFFSET('Coach Card'!$AG$17,U40,0),IF(OFFSET('Coach Card'!$AH$17,U40,0)&lt;&gt;"","-",""),OFFSET('Coach Card'!$AH$17,U40,0),IF(OFFSET('Coach Card'!$AI$17,U40,0)&lt;&gt;"","-",""),OFFSET('Coach Card'!$AI$17,U40,0),IF(OFFSET('Coach Card'!$AJ$17,U40,0)&lt;&gt;"","-",""),OFFSET('Coach Card'!$AJ$17,U40,0),IF(OFFSET('Coach Card'!$AK$17,U40,0)&lt;&gt;"","-",""),OFFSET('Coach Card'!$AK$17,U40,0),IF(OFFSET('Coach Card'!$AL$17,U40,0)&lt;&gt;"","-",""),OFFSET('Coach Card'!$AL$17,U40,0),IF(OFFSET('Coach Card'!$AM$17,U40,0)&lt;&gt;"","-",""),OFFSET('Coach Card'!$AM$17,U40,0))</f>
        <v/>
      </c>
      <c r="G40" s="213"/>
      <c r="H40" s="213"/>
      <c r="I40" s="213"/>
      <c r="J40" s="213"/>
      <c r="K40" s="213"/>
      <c r="L40" s="213"/>
      <c r="M40" s="213"/>
      <c r="N40" s="213"/>
      <c r="O40" s="213"/>
      <c r="P40" s="213"/>
      <c r="Q40" s="214"/>
      <c r="R40" s="173" t="str">
        <f ca="1">IF(OR(LEFT(B40,4)="Acro",LEFT(B40,1)="T",LEFT(B40,1)=""),"",IF(OFFSET('Coach Card'!$AN$17,U40,0)="","",OFFSET('Coach Card'!$AN$17,U40,0)))</f>
        <v/>
      </c>
      <c r="S40" s="174" t="str">
        <f ca="1">IF(OFFSET('Coach Card'!$AO$18,U40,0)=0,"",OFFSET('Coach Card'!$AO$18,U40,0))</f>
        <v/>
      </c>
      <c r="T40" s="194"/>
      <c r="U40" s="221">
        <v>50</v>
      </c>
    </row>
    <row r="41" spans="1:24" ht="25" customHeight="1" x14ac:dyDescent="0.35">
      <c r="A41" s="242" t="s">
        <v>2441</v>
      </c>
      <c r="B41" s="371"/>
      <c r="C41" s="371"/>
      <c r="D41" s="371"/>
      <c r="E41" s="130"/>
      <c r="F41" s="366" t="str" cm="1">
        <f t="array" ref="F41">IFERROR(IF(AND('Coach Card'!F7="",'Coach Card'!F8=""),"",IF(AND('Coach Card'!$BV$6="D",'Coach Card'!$DN$15="Yes"),"--&gt;&gt; Same Acrobatic-Pair ! &lt;&lt;--",IF(AND('Coach Card'!BV8&lt;&gt;"T",'Coach Card'!BV3="No"),IF('Coach Card'!GY15="Yes",IF('Coach Card'!FQ15&lt;&gt;"","--&gt;&gt; To many of the same Hybrid teqnique in one Element &lt;&lt;--",IF('Coach Card'!EI13&lt;&gt;"","--&gt;&gt; To many Hybrids from the same family in one Element ! &lt;&lt;--",IF(AND(OR('Coach Card'!F8="Open Free Combination",'Coach Card'!F8="Open Team Acrobatic"),'Coach Card'!N6:AC6=""),"--&gt;&gt; No Theme declared on Coach Card ! Penalty = 8 ? &lt;&lt;--",IF('Coach Card'!R14="No","--&gt;&gt; All required elements not present ! &lt;&lt;--","")))),"--&gt;&gt; All Hybrid families are not present ! Penalty = 8 ? &lt;&lt;--"),IF(OR(AND('Coach Card'!BV3="Yes",'Coach Card'!DT10="Yes"),AND('Coach Card'!$DT$9="Yes",'Coach Card'!$F$8="Open Team Technical")),"--&gt;&gt; To many Acrobatics of the same group ! &lt;&lt;--",IF(AND('Coach Card'!BV3="Yes",'Coach Card'!DR10="No"),"--&gt;&gt; All Acrobatic groups not present ! &lt;&lt;--",IF(AND(OR('Coach Card'!F8="Open Free Combination",'Coach Card'!F8="Open Team Acrobatic"),'Coach Card'!N6:AC6=""),"--&gt;&gt; No Theme declared on Coach Card ! Penalty = 8 ? &lt;&lt;--",IF(AND('Coach Card'!BV8="T",'Coach Card'!GY12="No"),"--&gt;&gt; All Technical Required Elements not present ! &lt;&lt;--",IF('Coach Card'!R14="No","--&gt;&gt; All required elements not present ! &lt;&lt;--","")))))))),"")</f>
        <v/>
      </c>
      <c r="G41" s="366"/>
      <c r="H41" s="366"/>
      <c r="I41" s="366"/>
      <c r="J41" s="366"/>
      <c r="P41" s="367" t="s">
        <v>617</v>
      </c>
      <c r="Q41" s="367"/>
      <c r="R41" s="368"/>
      <c r="S41" s="175" t="str">
        <f>IF('Coach Card'!$AO$13=0,"",'Coach Card'!$AO$13)</f>
        <v/>
      </c>
      <c r="T41" s="194"/>
    </row>
    <row r="42" spans="1:24" ht="14.15" customHeight="1" x14ac:dyDescent="0.35">
      <c r="A42" s="75"/>
      <c r="B42" s="75"/>
      <c r="C42" s="75"/>
      <c r="D42" s="75"/>
      <c r="E42" s="75"/>
      <c r="F42" s="75"/>
      <c r="G42" s="75"/>
      <c r="H42" s="75"/>
      <c r="I42" s="75"/>
      <c r="J42" s="75"/>
      <c r="K42" s="75"/>
      <c r="L42" s="75"/>
      <c r="M42" s="75"/>
      <c r="N42" s="75"/>
      <c r="O42" s="75"/>
    </row>
    <row r="43" spans="1:24" ht="19.5" customHeight="1" x14ac:dyDescent="0.3">
      <c r="B43" s="81"/>
      <c r="C43" s="84" t="str">
        <f>A5</f>
        <v>AQUA Member Federation:</v>
      </c>
      <c r="D43" s="372" t="str">
        <f>IF('Coach Card'!F5&lt;&gt;"",'Coach Card'!F5,"")</f>
        <v/>
      </c>
      <c r="E43" s="372"/>
      <c r="F43" s="372"/>
      <c r="G43" s="372"/>
      <c r="H43" s="372"/>
      <c r="I43" s="372"/>
      <c r="J43" s="372"/>
      <c r="K43" s="75"/>
      <c r="L43" s="75"/>
      <c r="M43" s="75"/>
      <c r="N43" s="75"/>
      <c r="O43" s="75"/>
    </row>
    <row r="44" spans="1:24" s="77" customFormat="1" ht="4.5" customHeight="1" x14ac:dyDescent="0.3">
      <c r="D44" s="79" t="s">
        <v>619</v>
      </c>
      <c r="P44" s="126"/>
      <c r="U44" s="222"/>
      <c r="V44" s="126"/>
      <c r="W44" s="126"/>
      <c r="X44" s="126"/>
    </row>
    <row r="45" spans="1:24" s="77" customFormat="1" ht="21" customHeight="1" x14ac:dyDescent="0.35">
      <c r="A45" s="76"/>
      <c r="P45" s="126"/>
      <c r="U45" s="222"/>
      <c r="V45" s="126"/>
      <c r="W45" s="126"/>
      <c r="X45" s="126"/>
    </row>
    <row r="46" spans="1:24" s="78" customFormat="1" ht="22.5" customHeight="1" x14ac:dyDescent="0.3">
      <c r="A46" s="80" t="s">
        <v>622</v>
      </c>
      <c r="B46" s="365"/>
      <c r="C46" s="365"/>
      <c r="D46" s="365"/>
      <c r="E46" s="365"/>
      <c r="F46" s="80" t="s">
        <v>621</v>
      </c>
      <c r="G46" s="365"/>
      <c r="H46" s="365"/>
      <c r="I46" s="365"/>
      <c r="J46" s="365"/>
      <c r="P46" s="127"/>
      <c r="U46" s="223"/>
      <c r="V46" s="127"/>
      <c r="W46" s="127"/>
      <c r="X46" s="127"/>
    </row>
    <row r="47" spans="1:24" s="82" customFormat="1" ht="4.5" customHeight="1" x14ac:dyDescent="0.3">
      <c r="B47" s="79" t="s">
        <v>620</v>
      </c>
      <c r="G47" s="79" t="s">
        <v>618</v>
      </c>
      <c r="P47" s="128"/>
      <c r="U47" s="224"/>
      <c r="V47" s="128"/>
      <c r="W47" s="128"/>
      <c r="X47" s="128"/>
    </row>
  </sheetData>
  <sheetProtection algorithmName="SHA-512" hashValue="gjYZta3mQolWuptediFW2+GHz/zKn2bjlvzNQ7Wm8yexfLTZ/n5qVwVq2aHq2KRCP95Xwl1zx25jVfb4mwYbAQ==" saltValue="75ClXcB+gfX/WELo0p4frQ==" spinCount="100000" sheet="1" objects="1" scenarios="1"/>
  <mergeCells count="79">
    <mergeCell ref="A5:C5"/>
    <mergeCell ref="A6:C6"/>
    <mergeCell ref="E8:F8"/>
    <mergeCell ref="A8:C8"/>
    <mergeCell ref="S5:T5"/>
    <mergeCell ref="S6:T7"/>
    <mergeCell ref="P8:T11"/>
    <mergeCell ref="E5:R5"/>
    <mergeCell ref="E6:R6"/>
    <mergeCell ref="E7:R7"/>
    <mergeCell ref="A12:C12"/>
    <mergeCell ref="A13:C13"/>
    <mergeCell ref="C15:D15"/>
    <mergeCell ref="A10:C11"/>
    <mergeCell ref="A7:C7"/>
    <mergeCell ref="C22:D22"/>
    <mergeCell ref="C23:D23"/>
    <mergeCell ref="C20:D20"/>
    <mergeCell ref="C21:D21"/>
    <mergeCell ref="C18:D18"/>
    <mergeCell ref="C19:D19"/>
    <mergeCell ref="C28:D28"/>
    <mergeCell ref="C29:D29"/>
    <mergeCell ref="C26:D26"/>
    <mergeCell ref="C27:D27"/>
    <mergeCell ref="C24:D24"/>
    <mergeCell ref="C25:D25"/>
    <mergeCell ref="C34:D34"/>
    <mergeCell ref="C35:D35"/>
    <mergeCell ref="C32:D32"/>
    <mergeCell ref="C33:D33"/>
    <mergeCell ref="C30:D30"/>
    <mergeCell ref="C31:D31"/>
    <mergeCell ref="B46:E46"/>
    <mergeCell ref="G46:J46"/>
    <mergeCell ref="F41:J41"/>
    <mergeCell ref="P41:R41"/>
    <mergeCell ref="C36:D36"/>
    <mergeCell ref="C37:D37"/>
    <mergeCell ref="C38:D38"/>
    <mergeCell ref="C39:D39"/>
    <mergeCell ref="C40:D40"/>
    <mergeCell ref="B41:D41"/>
    <mergeCell ref="D43:J43"/>
    <mergeCell ref="E12:T12"/>
    <mergeCell ref="M9:O9"/>
    <mergeCell ref="E10:F10"/>
    <mergeCell ref="J10:K10"/>
    <mergeCell ref="M10:O10"/>
    <mergeCell ref="E11:F11"/>
    <mergeCell ref="J11:K11"/>
    <mergeCell ref="M11:O11"/>
    <mergeCell ref="E9:F9"/>
    <mergeCell ref="J9:K9"/>
    <mergeCell ref="E13:T13"/>
    <mergeCell ref="A14:T14"/>
    <mergeCell ref="F15:Q15"/>
    <mergeCell ref="F16:Q16"/>
    <mergeCell ref="F17:Q17"/>
    <mergeCell ref="C16:D16"/>
    <mergeCell ref="C17:D17"/>
    <mergeCell ref="F18:Q18"/>
    <mergeCell ref="F19:Q19"/>
    <mergeCell ref="F20:Q20"/>
    <mergeCell ref="F21:Q21"/>
    <mergeCell ref="F22:Q22"/>
    <mergeCell ref="F23:Q23"/>
    <mergeCell ref="F24:Q24"/>
    <mergeCell ref="F25:Q25"/>
    <mergeCell ref="F26:Q26"/>
    <mergeCell ref="F27:Q27"/>
    <mergeCell ref="F33:Q33"/>
    <mergeCell ref="F34:Q34"/>
    <mergeCell ref="F35:Q35"/>
    <mergeCell ref="F28:Q28"/>
    <mergeCell ref="F29:Q29"/>
    <mergeCell ref="F30:Q30"/>
    <mergeCell ref="F31:Q31"/>
    <mergeCell ref="F32:Q32"/>
  </mergeCells>
  <conditionalFormatting sqref="A16:A35">
    <cfRule type="expression" dxfId="8" priority="1">
      <formula>$X16="X"</formula>
    </cfRule>
  </conditionalFormatting>
  <conditionalFormatting sqref="D8:D11 G8:G11 I9:I11 L9:L11">
    <cfRule type="notContainsBlanks" dxfId="5" priority="12">
      <formula>LEN(TRIM(D8))&gt;0</formula>
    </cfRule>
  </conditionalFormatting>
  <conditionalFormatting sqref="E8:E11">
    <cfRule type="expression" dxfId="4" priority="9">
      <formula>D8&lt;&gt;""</formula>
    </cfRule>
  </conditionalFormatting>
  <conditionalFormatting sqref="F41:J41">
    <cfRule type="notContainsBlanks" dxfId="3" priority="2">
      <formula>LEN(TRIM(F41))&gt;0</formula>
    </cfRule>
  </conditionalFormatting>
  <conditionalFormatting sqref="H8:H11">
    <cfRule type="expression" dxfId="2" priority="6">
      <formula>G8&lt;&gt;""</formula>
    </cfRule>
  </conditionalFormatting>
  <conditionalFormatting sqref="J9:J11">
    <cfRule type="expression" dxfId="1" priority="7">
      <formula>I9&lt;&gt;""</formula>
    </cfRule>
  </conditionalFormatting>
  <conditionalFormatting sqref="M9:M11">
    <cfRule type="expression" dxfId="0" priority="10">
      <formula>L9&lt;&gt;""</formula>
    </cfRule>
  </conditionalFormatting>
  <printOptions horizontalCentered="1" verticalCentered="1"/>
  <pageMargins left="0.23622047244094491" right="0.23622047244094491" top="0" bottom="0" header="0" footer="0"/>
  <pageSetup paperSize="9" scale="6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4" id="{E4C41794-D568-45D0-A82A-6653F63643C3}">
            <xm:f>'Coach Card'!$BA$17&gt;0</xm:f>
            <x14:dxf>
              <font>
                <color theme="1"/>
              </font>
              <fill>
                <patternFill>
                  <bgColor theme="0" tint="-0.14996795556505021"/>
                </patternFill>
              </fill>
            </x14:dxf>
          </x14:cfRule>
          <xm:sqref>A41</xm:sqref>
        </x14:conditionalFormatting>
        <x14:conditionalFormatting xmlns:xm="http://schemas.microsoft.com/office/excel/2006/main">
          <x14:cfRule type="expression" priority="14990" id="{52934A8C-E42B-4320-B848-36B1E24584AA}">
            <xm:f>'Coach Card'!$CR$18&gt;'Coach Card'!$AA$14</xm:f>
            <x14:dxf>
              <fill>
                <patternFill>
                  <bgColor theme="0" tint="-0.14996795556505021"/>
                </patternFill>
              </fill>
            </x14:dxf>
          </x14:cfRule>
          <xm:sqref>B41:D41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CG345"/>
  <sheetViews>
    <sheetView topLeftCell="A34" zoomScaleNormal="100" workbookViewId="0">
      <selection activeCell="E50" sqref="E50"/>
    </sheetView>
  </sheetViews>
  <sheetFormatPr baseColWidth="10" defaultColWidth="9.1796875" defaultRowHeight="14.5" x14ac:dyDescent="0.35"/>
  <cols>
    <col min="1" max="1" width="26.26953125" bestFit="1" customWidth="1"/>
    <col min="2" max="2" width="4" customWidth="1"/>
    <col min="3" max="3" width="13.453125" bestFit="1" customWidth="1"/>
    <col min="4" max="4" width="4.54296875" customWidth="1"/>
    <col min="5" max="5" width="30.7265625" bestFit="1" customWidth="1"/>
    <col min="6" max="6" width="9.1796875" style="1"/>
    <col min="7" max="7" width="48.54296875" bestFit="1" customWidth="1"/>
    <col min="11" max="11" width="12" bestFit="1" customWidth="1"/>
    <col min="12" max="16" width="12" customWidth="1"/>
    <col min="17" max="17" width="10.54296875" bestFit="1" customWidth="1"/>
    <col min="18" max="18" width="10.54296875" customWidth="1"/>
    <col min="19" max="19" width="12.453125" bestFit="1" customWidth="1"/>
    <col min="22" max="22" width="9.1796875" style="1"/>
    <col min="23" max="23" width="9.1796875" style="5"/>
    <col min="57" max="57" width="9.1796875" customWidth="1"/>
    <col min="63" max="63" width="9.1796875" style="8"/>
    <col min="68" max="68" width="10.81640625" customWidth="1"/>
    <col min="83" max="83" width="37.81640625" bestFit="1" customWidth="1"/>
    <col min="84" max="84" width="33.1796875" bestFit="1" customWidth="1"/>
    <col min="85" max="85" width="5.54296875" bestFit="1" customWidth="1"/>
  </cols>
  <sheetData>
    <row r="1" spans="1:85" x14ac:dyDescent="0.35">
      <c r="A1" t="s">
        <v>8</v>
      </c>
      <c r="C1" t="s">
        <v>13</v>
      </c>
      <c r="E1" t="s">
        <v>15</v>
      </c>
      <c r="F1" s="1" t="s">
        <v>45</v>
      </c>
      <c r="G1" t="s">
        <v>22</v>
      </c>
      <c r="H1" s="1" t="s">
        <v>20</v>
      </c>
      <c r="I1" s="1" t="s">
        <v>19</v>
      </c>
      <c r="J1" s="1" t="s">
        <v>12</v>
      </c>
      <c r="K1" s="1" t="s">
        <v>29</v>
      </c>
      <c r="L1" s="1" t="s">
        <v>31</v>
      </c>
      <c r="M1" s="1" t="s">
        <v>33</v>
      </c>
      <c r="N1" s="1" t="s">
        <v>32</v>
      </c>
      <c r="O1" s="1" t="s">
        <v>34</v>
      </c>
      <c r="P1" s="1" t="s">
        <v>1625</v>
      </c>
      <c r="Q1" s="1" t="s">
        <v>30</v>
      </c>
      <c r="R1" s="1" t="s">
        <v>2266</v>
      </c>
      <c r="S1" s="1" t="s">
        <v>1773</v>
      </c>
      <c r="U1" s="1" t="s">
        <v>40</v>
      </c>
      <c r="V1" s="1" t="s">
        <v>1622</v>
      </c>
      <c r="BE1" s="403"/>
      <c r="BF1" s="403"/>
      <c r="BL1" s="404" t="s">
        <v>110</v>
      </c>
      <c r="BM1" s="404"/>
      <c r="BN1" s="405" t="s">
        <v>114</v>
      </c>
      <c r="BO1" s="405"/>
      <c r="BP1" s="48" t="s">
        <v>118</v>
      </c>
      <c r="BQ1" s="48"/>
      <c r="BR1" s="402" t="s">
        <v>125</v>
      </c>
      <c r="BS1" s="402"/>
      <c r="BU1" t="s">
        <v>555</v>
      </c>
      <c r="BV1" t="s">
        <v>556</v>
      </c>
      <c r="BW1" t="s">
        <v>557</v>
      </c>
      <c r="BX1" t="s">
        <v>558</v>
      </c>
      <c r="BY1" t="s">
        <v>559</v>
      </c>
      <c r="BZ1" t="s">
        <v>560</v>
      </c>
      <c r="CA1" t="s">
        <v>561</v>
      </c>
      <c r="CB1" t="s">
        <v>562</v>
      </c>
      <c r="CC1" t="s">
        <v>563</v>
      </c>
      <c r="CE1" t="s">
        <v>631</v>
      </c>
      <c r="CF1" t="s">
        <v>1050</v>
      </c>
      <c r="CG1" t="s">
        <v>842</v>
      </c>
    </row>
    <row r="2" spans="1:85" x14ac:dyDescent="0.35">
      <c r="H2" s="1"/>
      <c r="I2" s="1"/>
      <c r="J2" s="1"/>
      <c r="K2" s="1"/>
      <c r="L2" s="1"/>
      <c r="M2" s="1"/>
      <c r="N2" s="1"/>
      <c r="O2" s="1"/>
      <c r="P2" s="1"/>
      <c r="Q2" s="1"/>
      <c r="R2" s="1"/>
      <c r="S2" s="1"/>
      <c r="BL2" s="45" t="s">
        <v>106</v>
      </c>
      <c r="BM2" s="45" t="s">
        <v>107</v>
      </c>
      <c r="BN2" s="46" t="s">
        <v>115</v>
      </c>
      <c r="BO2" s="46" t="s">
        <v>116</v>
      </c>
      <c r="BP2" s="48" t="s">
        <v>119</v>
      </c>
      <c r="BQ2" s="48" t="s">
        <v>120</v>
      </c>
      <c r="BR2" s="50" t="s">
        <v>126</v>
      </c>
      <c r="BS2" s="50" t="s">
        <v>127</v>
      </c>
      <c r="BU2" t="str">
        <f>IF('Coach Card'!E20="H",HybridDD!M3,IF('Coach Card'!E20=3,TREDD!B3,IF('Coach Card'!E20="A",BL3,IF('Coach Card'!E20="B",BN3,IF('Coach Card'!E20="C",BP3,IF('Coach Card'!E20="P",BR3,IF('Coach Card'!H19="A-Pair",AcroDD!Q5,"")))))))</f>
        <v/>
      </c>
      <c r="CE2" t="s">
        <v>632</v>
      </c>
      <c r="CF2" t="s">
        <v>1051</v>
      </c>
      <c r="CG2" t="s">
        <v>843</v>
      </c>
    </row>
    <row r="3" spans="1:85" x14ac:dyDescent="0.35">
      <c r="A3" t="s">
        <v>1330</v>
      </c>
      <c r="C3" t="s">
        <v>14</v>
      </c>
      <c r="D3" t="e">
        <f>'Coach Card'!$CP$15*10+1</f>
        <v>#VALUE!</v>
      </c>
      <c r="E3" t="e">
        <f t="shared" ref="E3:E11" ca="1" si="0">IF(OFFSET($D$1,D3+1,1)&lt;&gt;"",OFFSET($D$1,D3+1,1),"")</f>
        <v>#VALUE!</v>
      </c>
      <c r="F3" s="2">
        <v>1.0013888888888889</v>
      </c>
      <c r="G3" t="s">
        <v>1319</v>
      </c>
      <c r="H3" s="1"/>
      <c r="I3" s="1">
        <v>4</v>
      </c>
      <c r="J3" s="1"/>
      <c r="K3" s="1"/>
      <c r="L3" s="1"/>
      <c r="M3" s="1"/>
      <c r="N3" s="1"/>
      <c r="O3" s="1"/>
      <c r="P3" s="1"/>
      <c r="Q3" s="1"/>
      <c r="R3" s="1"/>
      <c r="S3" s="1"/>
      <c r="T3">
        <f>SUM(H3:S3)</f>
        <v>4</v>
      </c>
      <c r="U3">
        <v>1</v>
      </c>
      <c r="V3" s="1" t="s">
        <v>70</v>
      </c>
      <c r="BE3" s="1"/>
      <c r="BF3" s="1"/>
      <c r="BK3" s="8">
        <v>1</v>
      </c>
      <c r="BL3" s="45" t="s">
        <v>108</v>
      </c>
      <c r="BM3" s="45">
        <v>0</v>
      </c>
      <c r="BN3" s="46" t="s">
        <v>112</v>
      </c>
      <c r="BO3" s="46">
        <v>0</v>
      </c>
      <c r="BP3" s="48" t="s">
        <v>121</v>
      </c>
      <c r="BQ3" s="48">
        <v>0</v>
      </c>
      <c r="BR3" s="50" t="s">
        <v>128</v>
      </c>
      <c r="BS3" s="50">
        <v>0</v>
      </c>
      <c r="BU3" t="str">
        <f>IF('Coach Card'!E21="H",HybridDD!M4,IF('Coach Card'!E21=3,TREDD!B4,IF('Coach Card'!E21="A",BL4,IF('Coach Card'!E21="B",BN4,IF('Coach Card'!E21="C",BP4,IF('Coach Card'!E21="P",BR4,IF(LEFT('Coach Card'!H20,6)="A-Pair",AcroDD!Q6,"")))))))</f>
        <v/>
      </c>
      <c r="CE3" t="s">
        <v>633</v>
      </c>
      <c r="CF3" t="s">
        <v>1052</v>
      </c>
      <c r="CG3" t="s">
        <v>844</v>
      </c>
    </row>
    <row r="4" spans="1:85" x14ac:dyDescent="0.35">
      <c r="A4" t="s">
        <v>1331</v>
      </c>
      <c r="C4" t="s">
        <v>1338</v>
      </c>
      <c r="D4" t="e">
        <f>'Coach Card'!$CP$15*10+2</f>
        <v>#VALUE!</v>
      </c>
      <c r="E4" t="e">
        <f t="shared" ca="1" si="0"/>
        <v>#VALUE!</v>
      </c>
      <c r="F4" s="2">
        <v>1.0013888888888889</v>
      </c>
      <c r="G4" t="s">
        <v>23</v>
      </c>
      <c r="H4" s="1"/>
      <c r="I4" s="1">
        <v>4</v>
      </c>
      <c r="J4" s="1"/>
      <c r="K4" s="1"/>
      <c r="L4" s="1"/>
      <c r="M4" s="1"/>
      <c r="N4" s="1"/>
      <c r="O4" s="1"/>
      <c r="P4" s="1"/>
      <c r="Q4" s="1"/>
      <c r="R4" s="1"/>
      <c r="S4" s="1"/>
      <c r="T4">
        <f t="shared" ref="T4:T38" si="1">SUM(H4:S4)</f>
        <v>4</v>
      </c>
      <c r="U4">
        <v>1</v>
      </c>
      <c r="V4" s="1" t="s">
        <v>2450</v>
      </c>
      <c r="BE4" s="1"/>
      <c r="BF4" s="1"/>
      <c r="BL4" s="45" t="s">
        <v>109</v>
      </c>
      <c r="BM4" s="45">
        <v>0</v>
      </c>
      <c r="BN4" s="46" t="s">
        <v>113</v>
      </c>
      <c r="BO4" s="46">
        <v>0</v>
      </c>
      <c r="BP4" s="48" t="s">
        <v>122</v>
      </c>
      <c r="BQ4" s="48">
        <v>0</v>
      </c>
      <c r="BR4" s="50" t="s">
        <v>129</v>
      </c>
      <c r="BS4" s="50">
        <v>0</v>
      </c>
      <c r="BU4" t="str">
        <f>IF('Coach Card'!E22="H",HybridDD!M5,IF('Coach Card'!E22=3,TREDD!B5,IF('Coach Card'!E22="A",BL5,IF('Coach Card'!E22="B",BN5,IF('Coach Card'!E22="C",BP5,IF('Coach Card'!E22="P",BR5,IF('Coach Card'!H21="A-Pair",AcroDD!Q7,"")))))))</f>
        <v/>
      </c>
      <c r="CE4" t="s">
        <v>634</v>
      </c>
      <c r="CF4" t="s">
        <v>1207</v>
      </c>
      <c r="CG4" t="s">
        <v>845</v>
      </c>
    </row>
    <row r="5" spans="1:85" x14ac:dyDescent="0.35">
      <c r="A5" t="s">
        <v>3</v>
      </c>
      <c r="C5" t="s">
        <v>1339</v>
      </c>
      <c r="D5" t="e">
        <f>'Coach Card'!$CP$15*10+3</f>
        <v>#VALUE!</v>
      </c>
      <c r="E5" t="e">
        <f t="shared" ca="1" si="0"/>
        <v>#VALUE!</v>
      </c>
      <c r="F5" s="2">
        <v>1.0015046296296297</v>
      </c>
      <c r="G5" t="s">
        <v>1320</v>
      </c>
      <c r="H5" s="1"/>
      <c r="I5" s="1">
        <v>4</v>
      </c>
      <c r="J5" s="1">
        <v>1</v>
      </c>
      <c r="K5" s="1"/>
      <c r="L5" s="1"/>
      <c r="M5" s="1"/>
      <c r="N5" s="1"/>
      <c r="O5" s="1"/>
      <c r="P5" s="1"/>
      <c r="Q5" s="1"/>
      <c r="R5" s="1"/>
      <c r="S5" s="1"/>
      <c r="T5">
        <f t="shared" si="1"/>
        <v>5</v>
      </c>
      <c r="U5">
        <v>2</v>
      </c>
      <c r="V5" s="1" t="s">
        <v>71</v>
      </c>
      <c r="BE5" s="1"/>
      <c r="BF5" s="1"/>
      <c r="BL5" s="45"/>
      <c r="BM5" s="45"/>
      <c r="BN5" s="46"/>
      <c r="BO5" s="46"/>
      <c r="BP5" s="48" t="s">
        <v>123</v>
      </c>
      <c r="BQ5" s="48">
        <v>0</v>
      </c>
      <c r="BR5" s="50"/>
      <c r="BS5" s="50"/>
      <c r="BU5" t="str">
        <f>IF('Coach Card'!E23="H",HybridDD!M6,IF('Coach Card'!E23=3,TREDD!B6,IF('Coach Card'!E23="A",BL6,IF('Coach Card'!E23="B",BN6,IF('Coach Card'!E23="C",BP6,IF('Coach Card'!E23="P",BR6,IF('Coach Card'!H22="A-Pair",AcroDD!Q8,"")))))))</f>
        <v/>
      </c>
      <c r="CE5" t="s">
        <v>635</v>
      </c>
      <c r="CF5" t="s">
        <v>1053</v>
      </c>
      <c r="CG5" t="s">
        <v>846</v>
      </c>
    </row>
    <row r="6" spans="1:85" x14ac:dyDescent="0.35">
      <c r="A6" t="s">
        <v>9</v>
      </c>
      <c r="C6" t="s">
        <v>5</v>
      </c>
      <c r="D6" t="e">
        <f>'Coach Card'!$CP$15*10+4</f>
        <v>#VALUE!</v>
      </c>
      <c r="E6" t="e">
        <f t="shared" ca="1" si="0"/>
        <v>#VALUE!</v>
      </c>
      <c r="F6" s="2">
        <v>1.0017361111111112</v>
      </c>
      <c r="G6" t="s">
        <v>24</v>
      </c>
      <c r="H6" s="1"/>
      <c r="I6" s="1">
        <v>3</v>
      </c>
      <c r="J6" s="1">
        <v>2</v>
      </c>
      <c r="K6" s="1"/>
      <c r="L6" s="1"/>
      <c r="M6" s="1"/>
      <c r="N6" s="1"/>
      <c r="O6" s="1"/>
      <c r="P6" s="1"/>
      <c r="Q6" s="1">
        <v>3</v>
      </c>
      <c r="R6" s="1">
        <v>1</v>
      </c>
      <c r="S6" s="1"/>
      <c r="T6">
        <f t="shared" si="1"/>
        <v>9</v>
      </c>
      <c r="U6">
        <v>3</v>
      </c>
      <c r="V6" s="1" t="s">
        <v>72</v>
      </c>
      <c r="BE6" s="1"/>
      <c r="BF6" s="1"/>
      <c r="BL6" s="45"/>
      <c r="BM6" s="45"/>
      <c r="BN6" s="46"/>
      <c r="BO6" s="46"/>
      <c r="BP6" s="48"/>
      <c r="BQ6" s="48"/>
      <c r="BR6" s="50"/>
      <c r="BS6" s="50"/>
      <c r="BU6" t="str">
        <f>IF('Coach Card'!E24="H",HybridDD!M7,IF('Coach Card'!E24=3,TREDD!B7,IF('Coach Card'!E24="A",BL7,IF('Coach Card'!E24="B",BN7,IF('Coach Card'!E24="C",BP7,IF('Coach Card'!E24="P",BR7,IF('Coach Card'!H23="A-Pair",AcroDD!Q9,"")))))))</f>
        <v/>
      </c>
      <c r="CE6" t="s">
        <v>636</v>
      </c>
      <c r="CF6" t="s">
        <v>1054</v>
      </c>
      <c r="CG6" t="s">
        <v>847</v>
      </c>
    </row>
    <row r="7" spans="1:85" x14ac:dyDescent="0.35">
      <c r="A7" t="s">
        <v>1332</v>
      </c>
      <c r="D7" t="e">
        <f>'Coach Card'!$CP$15*10+5</f>
        <v>#VALUE!</v>
      </c>
      <c r="E7" t="e">
        <f t="shared" ca="1" si="0"/>
        <v>#VALUE!</v>
      </c>
      <c r="F7" s="2">
        <v>1.0019675925925926</v>
      </c>
      <c r="G7" t="s">
        <v>1321</v>
      </c>
      <c r="H7" s="1"/>
      <c r="I7" s="1">
        <v>4</v>
      </c>
      <c r="J7" s="1">
        <v>3</v>
      </c>
      <c r="K7" s="1"/>
      <c r="L7" s="1"/>
      <c r="M7" s="1"/>
      <c r="N7" s="1"/>
      <c r="O7" s="1"/>
      <c r="P7" s="1"/>
      <c r="Q7" s="1"/>
      <c r="R7" s="1"/>
      <c r="S7" s="1"/>
      <c r="T7">
        <f t="shared" si="1"/>
        <v>7</v>
      </c>
      <c r="U7">
        <v>12</v>
      </c>
      <c r="V7" s="1" t="s">
        <v>73</v>
      </c>
      <c r="BE7" s="1"/>
      <c r="BF7" s="1"/>
      <c r="BL7" s="45"/>
      <c r="BM7" s="45"/>
      <c r="BN7" s="46"/>
      <c r="BO7" s="46"/>
      <c r="BP7" s="48"/>
      <c r="BQ7" s="48"/>
      <c r="BR7" s="50"/>
      <c r="BS7" s="50"/>
      <c r="BU7" t="str">
        <f>IF('Coach Card'!E25="H",HybridDD!M8,IF('Coach Card'!E25=3,TREDD!B8,IF('Coach Card'!E25="A",BL8,IF('Coach Card'!E25="B",BN8,IF('Coach Card'!E25="C",BP8,IF('Coach Card'!E25="P",BR8,IF('Coach Card'!H24="A-Pair",AcroDD!Q10,"")))))))</f>
        <v/>
      </c>
      <c r="CE7" t="s">
        <v>637</v>
      </c>
      <c r="CF7" t="s">
        <v>1055</v>
      </c>
      <c r="CG7" t="s">
        <v>848</v>
      </c>
    </row>
    <row r="8" spans="1:85" x14ac:dyDescent="0.35">
      <c r="A8" t="s">
        <v>1333</v>
      </c>
      <c r="D8" t="e">
        <f>'Coach Card'!$CP$15*10+6</f>
        <v>#VALUE!</v>
      </c>
      <c r="E8" t="e">
        <f t="shared" ca="1" si="0"/>
        <v>#VALUE!</v>
      </c>
      <c r="F8" s="2">
        <v>1.0019097222222222</v>
      </c>
      <c r="G8" t="s">
        <v>1322</v>
      </c>
      <c r="H8" s="1"/>
      <c r="I8" s="1"/>
      <c r="J8" s="1">
        <v>3</v>
      </c>
      <c r="K8" s="1"/>
      <c r="L8" s="1"/>
      <c r="M8" s="1"/>
      <c r="N8" s="1">
        <v>1</v>
      </c>
      <c r="O8" s="1">
        <v>1</v>
      </c>
      <c r="P8" s="1">
        <v>1</v>
      </c>
      <c r="Q8" s="1"/>
      <c r="R8" s="1">
        <v>1</v>
      </c>
      <c r="S8" s="1"/>
      <c r="T8">
        <f t="shared" si="1"/>
        <v>7</v>
      </c>
      <c r="U8">
        <v>4</v>
      </c>
      <c r="V8" s="1" t="s">
        <v>73</v>
      </c>
      <c r="BE8" s="1"/>
      <c r="BF8" s="1"/>
      <c r="BL8" s="45"/>
      <c r="BM8" s="45"/>
      <c r="BN8" s="46"/>
      <c r="BO8" s="46"/>
      <c r="BP8" s="48"/>
      <c r="BQ8" s="48"/>
      <c r="BR8" s="50"/>
      <c r="BS8" s="50"/>
      <c r="BU8" t="str">
        <f>IF('Coach Card'!E26="H",HybridDD!M9,IF('Coach Card'!E26=3,TREDD!B9,IF('Coach Card'!E26="A",BL9,IF('Coach Card'!E26="B",BN9,IF('Coach Card'!E26="C",BP9,IF('Coach Card'!E26="P",BR9,IF('Coach Card'!H25="A-Pair",AcroDD!Q11,"")))))))</f>
        <v/>
      </c>
      <c r="CE8" t="s">
        <v>638</v>
      </c>
      <c r="CF8" t="s">
        <v>1208</v>
      </c>
      <c r="CG8" t="s">
        <v>849</v>
      </c>
    </row>
    <row r="9" spans="1:85" x14ac:dyDescent="0.35">
      <c r="A9" t="s">
        <v>10</v>
      </c>
      <c r="D9" t="e">
        <f>'Coach Card'!$CP$15*10+7</f>
        <v>#VALUE!</v>
      </c>
      <c r="E9" t="e">
        <f t="shared" ca="1" si="0"/>
        <v>#VALUE!</v>
      </c>
      <c r="F9" s="2">
        <v>1.0013888888888889</v>
      </c>
      <c r="G9" t="s">
        <v>1340</v>
      </c>
      <c r="H9" s="1"/>
      <c r="I9" s="1">
        <v>4</v>
      </c>
      <c r="J9" s="1"/>
      <c r="K9" s="1"/>
      <c r="L9" s="1"/>
      <c r="M9" s="1"/>
      <c r="N9" s="1"/>
      <c r="O9" s="1"/>
      <c r="P9" s="1"/>
      <c r="Q9" s="1"/>
      <c r="R9" s="1"/>
      <c r="S9" s="1"/>
      <c r="T9">
        <f t="shared" si="1"/>
        <v>4</v>
      </c>
      <c r="U9">
        <v>1</v>
      </c>
      <c r="V9" s="1" t="s">
        <v>70</v>
      </c>
      <c r="BE9" s="1"/>
      <c r="BF9" s="1"/>
      <c r="BL9" s="45"/>
      <c r="BM9" s="45"/>
      <c r="BN9" s="46"/>
      <c r="BO9" s="46"/>
      <c r="BP9" s="48"/>
      <c r="BQ9" s="48"/>
      <c r="BR9" s="50"/>
      <c r="BS9" s="50"/>
      <c r="BU9" t="str">
        <f>IF('Coach Card'!E27="H",HybridDD!M10,IF('Coach Card'!E27=3,TREDD!B10,IF('Coach Card'!E27="A",BL10,IF('Coach Card'!E27="B",BN10,IF('Coach Card'!E27="C",BP10,IF('Coach Card'!E27="P",BR10,IF('Coach Card'!H26="A-Pair",AcroDD!Q12,"")))))))</f>
        <v/>
      </c>
      <c r="CE9" t="s">
        <v>639</v>
      </c>
      <c r="CF9" t="s">
        <v>1056</v>
      </c>
      <c r="CG9" t="s">
        <v>850</v>
      </c>
    </row>
    <row r="10" spans="1:85" x14ac:dyDescent="0.35">
      <c r="A10" t="s">
        <v>11</v>
      </c>
      <c r="C10" t="s">
        <v>14</v>
      </c>
      <c r="D10" t="e">
        <f>'Coach Card'!$CP$15*10+8</f>
        <v>#VALUE!</v>
      </c>
      <c r="E10" t="e">
        <f t="shared" ca="1" si="0"/>
        <v>#VALUE!</v>
      </c>
      <c r="F10" s="2">
        <v>1.0013888888888889</v>
      </c>
      <c r="G10" t="s">
        <v>1341</v>
      </c>
      <c r="H10" s="1"/>
      <c r="I10" s="1">
        <v>4</v>
      </c>
      <c r="J10" s="1"/>
      <c r="K10" s="1"/>
      <c r="L10" s="1"/>
      <c r="M10" s="1"/>
      <c r="N10" s="1"/>
      <c r="O10" s="1"/>
      <c r="P10" s="1"/>
      <c r="Q10" s="1"/>
      <c r="R10" s="1"/>
      <c r="S10" s="1"/>
      <c r="T10">
        <f t="shared" si="1"/>
        <v>4</v>
      </c>
      <c r="U10">
        <v>1</v>
      </c>
      <c r="V10" s="1" t="s">
        <v>2450</v>
      </c>
      <c r="BE10" s="1"/>
      <c r="BF10" s="1"/>
      <c r="BK10" s="8">
        <v>2</v>
      </c>
      <c r="BL10" s="45" t="s">
        <v>111</v>
      </c>
      <c r="BM10" s="45">
        <v>0.5</v>
      </c>
      <c r="BN10" s="46" t="s">
        <v>117</v>
      </c>
      <c r="BO10" s="46">
        <v>1.05</v>
      </c>
      <c r="BP10" s="48" t="s">
        <v>124</v>
      </c>
      <c r="BQ10" s="48">
        <v>1.7</v>
      </c>
      <c r="BR10" s="50" t="s">
        <v>130</v>
      </c>
      <c r="BS10" s="50">
        <v>1.1000000000000001</v>
      </c>
      <c r="BU10" t="str">
        <f>IF('Coach Card'!E28="H",HybridDD!M11,IF('Coach Card'!E28=3,TREDD!B11,IF('Coach Card'!E28="A",BL11,IF('Coach Card'!E28="B",BN11,IF('Coach Card'!E28="C",BP11,IF('Coach Card'!E28="P",BR11,IF('Coach Card'!H27="A-Pair",AcroDD!Q13,"")))))))</f>
        <v/>
      </c>
      <c r="BX10" s="63"/>
      <c r="CE10" t="s">
        <v>640</v>
      </c>
      <c r="CF10" t="s">
        <v>1057</v>
      </c>
      <c r="CG10" t="s">
        <v>851</v>
      </c>
    </row>
    <row r="11" spans="1:85" x14ac:dyDescent="0.35">
      <c r="A11" t="s">
        <v>1334</v>
      </c>
      <c r="C11" t="s">
        <v>1338</v>
      </c>
      <c r="D11" t="e">
        <f>'Coach Card'!$CP$15*10+9</f>
        <v>#VALUE!</v>
      </c>
      <c r="E11" t="e">
        <f t="shared" ca="1" si="0"/>
        <v>#VALUE!</v>
      </c>
      <c r="F11" s="2">
        <v>1.0015046296296297</v>
      </c>
      <c r="G11" t="s">
        <v>1342</v>
      </c>
      <c r="H11" s="1"/>
      <c r="I11" s="1">
        <v>4</v>
      </c>
      <c r="J11" s="1">
        <v>1</v>
      </c>
      <c r="K11" s="1"/>
      <c r="L11" s="1"/>
      <c r="M11" s="1"/>
      <c r="N11" s="1"/>
      <c r="O11" s="1"/>
      <c r="P11" s="1"/>
      <c r="Q11" s="1"/>
      <c r="R11" s="1"/>
      <c r="S11" s="1"/>
      <c r="T11">
        <f t="shared" si="1"/>
        <v>5</v>
      </c>
      <c r="U11">
        <v>2</v>
      </c>
      <c r="V11" s="1" t="s">
        <v>71</v>
      </c>
      <c r="BE11" s="1"/>
      <c r="BF11" s="1"/>
      <c r="BL11" s="45" t="s">
        <v>393</v>
      </c>
      <c r="BM11" s="45">
        <v>0.9</v>
      </c>
      <c r="BN11" s="46" t="s">
        <v>188</v>
      </c>
      <c r="BO11" s="46">
        <v>0.7</v>
      </c>
      <c r="BP11" s="49" t="s">
        <v>156</v>
      </c>
      <c r="BQ11" s="48">
        <v>1.65</v>
      </c>
      <c r="BR11" s="50" t="s">
        <v>131</v>
      </c>
      <c r="BS11" s="50">
        <v>0.85</v>
      </c>
      <c r="CE11" t="s">
        <v>641</v>
      </c>
      <c r="CF11" t="s">
        <v>1058</v>
      </c>
      <c r="CG11" t="s">
        <v>852</v>
      </c>
    </row>
    <row r="12" spans="1:85" x14ac:dyDescent="0.35">
      <c r="A12" t="s">
        <v>1335</v>
      </c>
      <c r="F12" s="2">
        <v>1.0017361111111112</v>
      </c>
      <c r="G12" t="s">
        <v>1343</v>
      </c>
      <c r="H12" s="1"/>
      <c r="I12" s="1">
        <v>3</v>
      </c>
      <c r="J12" s="1">
        <v>2</v>
      </c>
      <c r="K12" s="1"/>
      <c r="L12" s="1"/>
      <c r="M12" s="1"/>
      <c r="N12" s="1"/>
      <c r="O12" s="1"/>
      <c r="P12" s="1"/>
      <c r="Q12" s="1">
        <v>3</v>
      </c>
      <c r="R12" s="1">
        <v>1</v>
      </c>
      <c r="S12" s="1"/>
      <c r="T12">
        <f t="shared" si="1"/>
        <v>9</v>
      </c>
      <c r="U12">
        <v>3</v>
      </c>
      <c r="V12" s="1" t="s">
        <v>72</v>
      </c>
      <c r="BE12" s="1"/>
      <c r="BF12" s="1"/>
      <c r="BL12" s="45" t="s">
        <v>394</v>
      </c>
      <c r="BM12" s="45">
        <v>1.25</v>
      </c>
      <c r="BN12" s="46" t="s">
        <v>189</v>
      </c>
      <c r="BO12" s="46">
        <v>1.35</v>
      </c>
      <c r="BP12" s="49" t="s">
        <v>154</v>
      </c>
      <c r="BQ12" s="48">
        <v>1.55</v>
      </c>
      <c r="BR12" s="50" t="s">
        <v>132</v>
      </c>
      <c r="BS12" s="50">
        <v>1.1499999999999999</v>
      </c>
      <c r="CE12" t="s">
        <v>642</v>
      </c>
      <c r="CF12" t="s">
        <v>1059</v>
      </c>
      <c r="CG12" t="s">
        <v>853</v>
      </c>
    </row>
    <row r="13" spans="1:85" x14ac:dyDescent="0.35">
      <c r="A13" t="s">
        <v>1336</v>
      </c>
      <c r="D13">
        <v>1</v>
      </c>
      <c r="E13" t="s">
        <v>18</v>
      </c>
      <c r="F13" s="2">
        <v>1.0019675925925926</v>
      </c>
      <c r="G13" t="s">
        <v>1344</v>
      </c>
      <c r="H13" s="1"/>
      <c r="I13" s="1">
        <v>4</v>
      </c>
      <c r="J13" s="1">
        <v>3</v>
      </c>
      <c r="K13" s="1"/>
      <c r="L13" s="1"/>
      <c r="M13" s="1"/>
      <c r="N13" s="1"/>
      <c r="O13" s="1"/>
      <c r="P13" s="1"/>
      <c r="Q13" s="1"/>
      <c r="R13" s="1"/>
      <c r="S13" s="1"/>
      <c r="T13">
        <f t="shared" si="1"/>
        <v>7</v>
      </c>
      <c r="U13">
        <v>12</v>
      </c>
      <c r="V13" s="1" t="s">
        <v>73</v>
      </c>
      <c r="BF13" s="7"/>
      <c r="BL13" s="45" t="s">
        <v>395</v>
      </c>
      <c r="BM13" s="45">
        <v>1</v>
      </c>
      <c r="BN13" s="46" t="s">
        <v>190</v>
      </c>
      <c r="BO13" s="46">
        <v>0.9</v>
      </c>
      <c r="BP13" s="49" t="s">
        <v>157</v>
      </c>
      <c r="BQ13" s="48">
        <v>1.55</v>
      </c>
      <c r="BR13" s="50" t="s">
        <v>133</v>
      </c>
      <c r="BS13" s="50">
        <v>1.3</v>
      </c>
      <c r="CE13" t="s">
        <v>643</v>
      </c>
      <c r="CF13" t="s">
        <v>1060</v>
      </c>
      <c r="CG13" t="s">
        <v>854</v>
      </c>
    </row>
    <row r="14" spans="1:85" x14ac:dyDescent="0.35">
      <c r="A14" t="s">
        <v>1337</v>
      </c>
      <c r="C14" t="s">
        <v>1339</v>
      </c>
      <c r="D14">
        <v>1</v>
      </c>
      <c r="E14" t="s">
        <v>1618</v>
      </c>
      <c r="F14" s="2">
        <v>1.0017361111111112</v>
      </c>
      <c r="G14" t="s">
        <v>2511</v>
      </c>
      <c r="H14" s="1"/>
      <c r="I14" s="1"/>
      <c r="J14" s="1">
        <v>5</v>
      </c>
      <c r="K14" s="1"/>
      <c r="L14" s="1"/>
      <c r="M14" s="1"/>
      <c r="N14" s="1"/>
      <c r="O14" s="1"/>
      <c r="P14" s="1"/>
      <c r="Q14" s="1"/>
      <c r="R14" s="1"/>
      <c r="S14" s="1"/>
      <c r="T14">
        <f t="shared" si="1"/>
        <v>5</v>
      </c>
      <c r="U14">
        <v>10</v>
      </c>
      <c r="V14" s="1" t="s">
        <v>73</v>
      </c>
      <c r="BF14" s="7"/>
      <c r="BL14" s="45" t="s">
        <v>146</v>
      </c>
      <c r="BM14" s="45">
        <v>1.35</v>
      </c>
      <c r="BN14" s="46" t="s">
        <v>191</v>
      </c>
      <c r="BO14" s="46">
        <v>1.1499999999999999</v>
      </c>
      <c r="BP14" s="49" t="s">
        <v>158</v>
      </c>
      <c r="BQ14" s="48">
        <v>1.75</v>
      </c>
      <c r="BR14" s="50" t="s">
        <v>134</v>
      </c>
      <c r="BS14" s="50">
        <v>1.4</v>
      </c>
      <c r="CE14" t="s">
        <v>644</v>
      </c>
      <c r="CF14" t="s">
        <v>1061</v>
      </c>
      <c r="CG14" t="s">
        <v>855</v>
      </c>
    </row>
    <row r="15" spans="1:85" x14ac:dyDescent="0.35">
      <c r="C15" t="s">
        <v>5</v>
      </c>
      <c r="D15">
        <v>1</v>
      </c>
      <c r="E15" t="str">
        <f>IF(AND('Coach Card'!$T$5="",LEFT('Coach Card'!$F$7,2)&lt;&gt;"12",LEFT('Coach Card'!$F$7,2)&lt;&gt;"Yo"),"Hybrid - Choreography (DD = 1)","")</f>
        <v>Hybrid - Choreography (DD = 1)</v>
      </c>
      <c r="F15" s="2">
        <v>1.0013888888888889</v>
      </c>
      <c r="G15" t="s">
        <v>1346</v>
      </c>
      <c r="H15" s="1">
        <v>5</v>
      </c>
      <c r="I15" s="1">
        <v>1</v>
      </c>
      <c r="J15" s="1"/>
      <c r="K15" s="1"/>
      <c r="L15" s="1"/>
      <c r="M15" s="1"/>
      <c r="N15" s="1"/>
      <c r="O15" s="1"/>
      <c r="P15" s="1"/>
      <c r="Q15" s="1"/>
      <c r="R15" s="1"/>
      <c r="S15" s="1"/>
      <c r="T15">
        <f t="shared" si="1"/>
        <v>6</v>
      </c>
      <c r="U15">
        <v>6</v>
      </c>
      <c r="V15" s="1" t="s">
        <v>70</v>
      </c>
      <c r="BF15" s="7"/>
      <c r="BL15" s="45" t="s">
        <v>396</v>
      </c>
      <c r="BM15" s="45">
        <v>1.35</v>
      </c>
      <c r="BN15" s="46" t="s">
        <v>192</v>
      </c>
      <c r="BO15" s="46">
        <v>0.95</v>
      </c>
      <c r="BP15" s="49" t="s">
        <v>159</v>
      </c>
      <c r="BQ15" s="48">
        <v>1.55</v>
      </c>
      <c r="BR15" s="50" t="s">
        <v>135</v>
      </c>
      <c r="BS15" s="50">
        <v>1.1499999999999999</v>
      </c>
      <c r="CE15" t="s">
        <v>645</v>
      </c>
      <c r="CF15" t="s">
        <v>1062</v>
      </c>
      <c r="CG15" t="s">
        <v>856</v>
      </c>
    </row>
    <row r="16" spans="1:85" x14ac:dyDescent="0.35">
      <c r="F16" s="2">
        <v>1.0015046296296297</v>
      </c>
      <c r="G16" t="s">
        <v>1347</v>
      </c>
      <c r="H16" s="1"/>
      <c r="I16" s="1">
        <v>4</v>
      </c>
      <c r="J16" s="1"/>
      <c r="K16" s="1"/>
      <c r="L16" s="1"/>
      <c r="M16" s="1"/>
      <c r="N16" s="1"/>
      <c r="O16" s="1"/>
      <c r="P16" s="1"/>
      <c r="Q16" s="1"/>
      <c r="R16" s="1">
        <v>1</v>
      </c>
      <c r="S16" s="1"/>
      <c r="T16">
        <f t="shared" si="1"/>
        <v>5</v>
      </c>
      <c r="U16">
        <v>1</v>
      </c>
      <c r="V16" s="1" t="s">
        <v>70</v>
      </c>
      <c r="BF16" s="7"/>
      <c r="BL16" s="45" t="s">
        <v>397</v>
      </c>
      <c r="BM16" s="45">
        <v>1.35</v>
      </c>
      <c r="BN16" s="46" t="s">
        <v>193</v>
      </c>
      <c r="BO16" s="46">
        <v>1.1499999999999999</v>
      </c>
      <c r="BP16" s="49" t="s">
        <v>160</v>
      </c>
      <c r="BQ16" s="48">
        <v>1.75</v>
      </c>
      <c r="BR16" s="50" t="s">
        <v>136</v>
      </c>
      <c r="BS16" s="50">
        <v>1.1499999999999999</v>
      </c>
      <c r="CE16" t="s">
        <v>646</v>
      </c>
      <c r="CF16" t="s">
        <v>1063</v>
      </c>
      <c r="CG16" t="s">
        <v>857</v>
      </c>
    </row>
    <row r="17" spans="1:85" x14ac:dyDescent="0.35">
      <c r="A17" t="s">
        <v>1331</v>
      </c>
      <c r="F17" s="2">
        <v>1.0013888888888889</v>
      </c>
      <c r="G17" t="s">
        <v>1348</v>
      </c>
      <c r="H17" s="1">
        <v>5</v>
      </c>
      <c r="I17" s="1">
        <v>1</v>
      </c>
      <c r="J17" s="1"/>
      <c r="K17" s="1"/>
      <c r="L17" s="1"/>
      <c r="M17" s="1"/>
      <c r="N17" s="1"/>
      <c r="O17" s="1"/>
      <c r="P17" s="1"/>
      <c r="Q17" s="1"/>
      <c r="R17" s="1"/>
      <c r="S17" s="1"/>
      <c r="T17">
        <f t="shared" si="1"/>
        <v>6</v>
      </c>
      <c r="U17">
        <v>6</v>
      </c>
      <c r="V17" s="1" t="s">
        <v>2450</v>
      </c>
      <c r="BF17" s="7"/>
      <c r="BL17" s="45" t="s">
        <v>398</v>
      </c>
      <c r="BM17" s="45">
        <v>1.3</v>
      </c>
      <c r="BN17" s="46" t="s">
        <v>194</v>
      </c>
      <c r="BO17" s="46">
        <v>0.95</v>
      </c>
      <c r="BP17" s="48" t="s">
        <v>155</v>
      </c>
      <c r="BQ17" s="48">
        <v>1.4</v>
      </c>
      <c r="BR17" s="50" t="s">
        <v>137</v>
      </c>
      <c r="BS17" s="50">
        <v>1.2</v>
      </c>
      <c r="CE17" t="s">
        <v>647</v>
      </c>
      <c r="CF17" t="s">
        <v>1064</v>
      </c>
      <c r="CG17" t="s">
        <v>858</v>
      </c>
    </row>
    <row r="18" spans="1:85" x14ac:dyDescent="0.35">
      <c r="A18" t="s">
        <v>9</v>
      </c>
      <c r="F18" s="2">
        <v>1.0015046296296297</v>
      </c>
      <c r="G18" t="s">
        <v>1349</v>
      </c>
      <c r="H18" s="1"/>
      <c r="I18" s="1">
        <v>4</v>
      </c>
      <c r="J18" s="1"/>
      <c r="K18" s="1"/>
      <c r="L18" s="1"/>
      <c r="M18" s="1"/>
      <c r="N18" s="1"/>
      <c r="O18" s="1"/>
      <c r="P18" s="1"/>
      <c r="Q18" s="1"/>
      <c r="R18" s="1">
        <v>1</v>
      </c>
      <c r="S18" s="1"/>
      <c r="T18">
        <f t="shared" si="1"/>
        <v>5</v>
      </c>
      <c r="U18">
        <v>1</v>
      </c>
      <c r="V18" s="1" t="s">
        <v>2450</v>
      </c>
      <c r="BF18" s="7"/>
      <c r="BL18" s="45" t="s">
        <v>399</v>
      </c>
      <c r="BM18" s="45">
        <v>1.3</v>
      </c>
      <c r="BN18" s="46" t="s">
        <v>195</v>
      </c>
      <c r="BO18" s="46">
        <v>1.2</v>
      </c>
      <c r="BP18" s="48" t="s">
        <v>161</v>
      </c>
      <c r="BQ18" s="48">
        <v>1.1000000000000001</v>
      </c>
      <c r="BR18" s="50" t="s">
        <v>138</v>
      </c>
      <c r="BS18" s="50">
        <v>1.45</v>
      </c>
      <c r="CE18" t="s">
        <v>648</v>
      </c>
      <c r="CF18" t="s">
        <v>1065</v>
      </c>
      <c r="CG18" t="s">
        <v>859</v>
      </c>
    </row>
    <row r="19" spans="1:85" x14ac:dyDescent="0.35">
      <c r="A19" t="s">
        <v>1333</v>
      </c>
      <c r="F19" s="2">
        <v>1.0016203703703703</v>
      </c>
      <c r="G19" t="s">
        <v>1350</v>
      </c>
      <c r="H19" s="1">
        <v>5</v>
      </c>
      <c r="I19" s="1">
        <v>1</v>
      </c>
      <c r="J19" s="1">
        <v>1</v>
      </c>
      <c r="K19" s="1"/>
      <c r="L19" s="1"/>
      <c r="M19" s="1"/>
      <c r="N19" s="1"/>
      <c r="O19" s="1"/>
      <c r="P19" s="1"/>
      <c r="Q19" s="1"/>
      <c r="R19" s="1"/>
      <c r="S19" s="1"/>
      <c r="T19">
        <f t="shared" si="1"/>
        <v>7</v>
      </c>
      <c r="U19">
        <v>7</v>
      </c>
      <c r="V19" s="1" t="s">
        <v>71</v>
      </c>
      <c r="BF19" s="7"/>
      <c r="BL19" s="45" t="s">
        <v>400</v>
      </c>
      <c r="BM19" s="45">
        <v>1.35</v>
      </c>
      <c r="BN19" s="46" t="s">
        <v>196</v>
      </c>
      <c r="BO19" s="46">
        <v>1.2</v>
      </c>
      <c r="BP19" s="48" t="s">
        <v>162</v>
      </c>
      <c r="BQ19" s="48">
        <v>1.35</v>
      </c>
      <c r="BR19" s="50" t="s">
        <v>139</v>
      </c>
      <c r="BS19" s="50">
        <v>1.7</v>
      </c>
      <c r="CE19" t="s">
        <v>649</v>
      </c>
      <c r="CF19" t="s">
        <v>1066</v>
      </c>
      <c r="CG19" t="s">
        <v>860</v>
      </c>
    </row>
    <row r="20" spans="1:85" x14ac:dyDescent="0.35">
      <c r="A20" t="s">
        <v>11</v>
      </c>
      <c r="F20" s="2">
        <v>1.0016782407407407</v>
      </c>
      <c r="G20" t="s">
        <v>1351</v>
      </c>
      <c r="H20" s="1"/>
      <c r="I20" s="1">
        <v>4</v>
      </c>
      <c r="J20" s="1">
        <v>2</v>
      </c>
      <c r="K20" s="1"/>
      <c r="L20" s="1"/>
      <c r="M20" s="1"/>
      <c r="N20" s="1"/>
      <c r="O20" s="1"/>
      <c r="P20" s="1"/>
      <c r="Q20" s="1"/>
      <c r="R20" s="1"/>
      <c r="S20" s="1"/>
      <c r="T20">
        <f t="shared" si="1"/>
        <v>6</v>
      </c>
      <c r="U20">
        <v>2</v>
      </c>
      <c r="V20" s="1" t="s">
        <v>71</v>
      </c>
      <c r="BF20" s="7"/>
      <c r="BL20" s="45" t="s">
        <v>401</v>
      </c>
      <c r="BM20" s="45">
        <v>1</v>
      </c>
      <c r="BN20" s="46" t="s">
        <v>177</v>
      </c>
      <c r="BO20" s="46">
        <v>0.85</v>
      </c>
      <c r="BP20" s="48" t="s">
        <v>163</v>
      </c>
      <c r="BQ20" s="48">
        <v>1.25</v>
      </c>
      <c r="BR20" s="50" t="s">
        <v>140</v>
      </c>
      <c r="BS20" s="50">
        <v>1</v>
      </c>
      <c r="CE20" t="s">
        <v>650</v>
      </c>
      <c r="CF20" t="s">
        <v>1067</v>
      </c>
      <c r="CG20" t="s">
        <v>861</v>
      </c>
    </row>
    <row r="21" spans="1:85" x14ac:dyDescent="0.35">
      <c r="A21" t="s">
        <v>1335</v>
      </c>
      <c r="F21" s="2">
        <v>1.0016203703703703</v>
      </c>
      <c r="G21" t="s">
        <v>1352</v>
      </c>
      <c r="H21" s="1">
        <v>3</v>
      </c>
      <c r="I21" s="1">
        <v>1</v>
      </c>
      <c r="J21" s="1">
        <v>2</v>
      </c>
      <c r="K21" s="1"/>
      <c r="L21" s="1">
        <v>1</v>
      </c>
      <c r="M21" s="1"/>
      <c r="N21" s="1"/>
      <c r="O21" s="1"/>
      <c r="P21" s="1"/>
      <c r="Q21" s="1">
        <v>3</v>
      </c>
      <c r="R21" s="1"/>
      <c r="S21" s="1"/>
      <c r="T21">
        <f t="shared" si="1"/>
        <v>10</v>
      </c>
      <c r="U21">
        <v>8</v>
      </c>
      <c r="V21" s="1" t="s">
        <v>72</v>
      </c>
      <c r="BF21" s="7"/>
      <c r="BL21" s="45" t="s">
        <v>194</v>
      </c>
      <c r="BM21" s="45">
        <v>1.3</v>
      </c>
      <c r="BN21" s="46" t="s">
        <v>140</v>
      </c>
      <c r="BO21" s="46">
        <v>1.2</v>
      </c>
      <c r="BP21" s="48" t="s">
        <v>164</v>
      </c>
      <c r="BQ21" s="48">
        <v>1.6</v>
      </c>
      <c r="BR21" s="50" t="s">
        <v>141</v>
      </c>
      <c r="BS21" s="50">
        <v>1.1000000000000001</v>
      </c>
      <c r="CE21" t="s">
        <v>651</v>
      </c>
      <c r="CF21" t="s">
        <v>1068</v>
      </c>
      <c r="CG21" t="s">
        <v>862</v>
      </c>
    </row>
    <row r="22" spans="1:85" x14ac:dyDescent="0.35">
      <c r="A22" t="s">
        <v>1336</v>
      </c>
      <c r="F22" s="2">
        <v>1.0019097222222222</v>
      </c>
      <c r="G22" t="s">
        <v>1353</v>
      </c>
      <c r="H22" s="1"/>
      <c r="I22" s="1">
        <v>3</v>
      </c>
      <c r="J22" s="1">
        <v>3</v>
      </c>
      <c r="K22" s="1"/>
      <c r="L22" s="1"/>
      <c r="M22" s="1"/>
      <c r="N22" s="1"/>
      <c r="O22" s="1"/>
      <c r="P22" s="1"/>
      <c r="Q22" s="1">
        <v>4</v>
      </c>
      <c r="R22" s="1">
        <v>1</v>
      </c>
      <c r="S22" s="1"/>
      <c r="T22">
        <f t="shared" si="1"/>
        <v>11</v>
      </c>
      <c r="U22">
        <v>3</v>
      </c>
      <c r="V22" s="1" t="s">
        <v>72</v>
      </c>
      <c r="BF22" s="7"/>
      <c r="BL22" s="45" t="s">
        <v>402</v>
      </c>
      <c r="BM22" s="45">
        <v>0.5</v>
      </c>
      <c r="BN22" s="46" t="s">
        <v>197</v>
      </c>
      <c r="BO22" s="46">
        <v>1.6</v>
      </c>
      <c r="BP22" s="48" t="s">
        <v>165</v>
      </c>
      <c r="BQ22" s="48">
        <v>0.7</v>
      </c>
      <c r="BR22" s="50" t="s">
        <v>142</v>
      </c>
      <c r="BS22" s="50">
        <v>0.9</v>
      </c>
      <c r="CE22" t="s">
        <v>652</v>
      </c>
      <c r="CF22" t="s">
        <v>1069</v>
      </c>
      <c r="CG22" t="s">
        <v>863</v>
      </c>
    </row>
    <row r="23" spans="1:85" x14ac:dyDescent="0.35">
      <c r="D23">
        <v>2</v>
      </c>
      <c r="E23" t="s">
        <v>18</v>
      </c>
      <c r="F23" s="2">
        <v>1.0019675925925926</v>
      </c>
      <c r="G23" t="s">
        <v>1354</v>
      </c>
      <c r="H23" s="1">
        <v>5</v>
      </c>
      <c r="I23" s="1">
        <v>1</v>
      </c>
      <c r="J23" s="1">
        <v>2</v>
      </c>
      <c r="K23" s="1"/>
      <c r="L23" s="1"/>
      <c r="M23" s="1"/>
      <c r="N23" s="1"/>
      <c r="O23" s="1"/>
      <c r="P23" s="1"/>
      <c r="Q23" s="1"/>
      <c r="R23" s="1"/>
      <c r="S23" s="1"/>
      <c r="T23">
        <f t="shared" si="1"/>
        <v>8</v>
      </c>
      <c r="U23">
        <v>11</v>
      </c>
      <c r="V23" s="1" t="s">
        <v>73</v>
      </c>
      <c r="BF23" s="7"/>
      <c r="BL23" s="45" t="s">
        <v>403</v>
      </c>
      <c r="BM23" s="45">
        <v>1.1000000000000001</v>
      </c>
      <c r="BN23" s="46" t="s">
        <v>198</v>
      </c>
      <c r="BO23" s="46">
        <v>1.4</v>
      </c>
      <c r="BP23" s="48" t="s">
        <v>166</v>
      </c>
      <c r="BQ23" s="48">
        <v>1.85</v>
      </c>
      <c r="BR23" s="50" t="s">
        <v>143</v>
      </c>
      <c r="BS23" s="50">
        <v>0.9</v>
      </c>
      <c r="CE23" t="s">
        <v>653</v>
      </c>
      <c r="CF23" t="s">
        <v>1070</v>
      </c>
      <c r="CG23" t="s">
        <v>864</v>
      </c>
    </row>
    <row r="24" spans="1:85" x14ac:dyDescent="0.35">
      <c r="D24">
        <v>2</v>
      </c>
      <c r="E24" t="s">
        <v>1619</v>
      </c>
      <c r="F24" s="2">
        <v>1.002199074074074</v>
      </c>
      <c r="G24" t="s">
        <v>1355</v>
      </c>
      <c r="H24" s="1"/>
      <c r="I24" s="1">
        <v>5</v>
      </c>
      <c r="J24" s="1">
        <v>3</v>
      </c>
      <c r="K24" s="1"/>
      <c r="L24" s="1"/>
      <c r="M24" s="1"/>
      <c r="N24" s="1"/>
      <c r="O24" s="1"/>
      <c r="P24" s="1"/>
      <c r="Q24" s="1"/>
      <c r="R24" s="1"/>
      <c r="S24" s="1"/>
      <c r="T24">
        <f t="shared" si="1"/>
        <v>8</v>
      </c>
      <c r="U24">
        <v>12</v>
      </c>
      <c r="V24" s="1" t="s">
        <v>73</v>
      </c>
      <c r="BF24" s="7"/>
      <c r="BL24" s="45" t="s">
        <v>140</v>
      </c>
      <c r="BM24" s="45">
        <v>1.4</v>
      </c>
      <c r="BN24" s="46" t="s">
        <v>1308</v>
      </c>
      <c r="BO24" s="46">
        <v>1.7</v>
      </c>
      <c r="BP24" s="48" t="s">
        <v>1279</v>
      </c>
      <c r="BQ24" s="48">
        <v>1.65</v>
      </c>
      <c r="BR24" s="50" t="s">
        <v>144</v>
      </c>
      <c r="BS24" s="50">
        <v>1</v>
      </c>
      <c r="CE24" t="s">
        <v>654</v>
      </c>
      <c r="CF24" t="s">
        <v>1071</v>
      </c>
      <c r="CG24" t="s">
        <v>865</v>
      </c>
    </row>
    <row r="25" spans="1:85" x14ac:dyDescent="0.35">
      <c r="A25" t="s">
        <v>1330</v>
      </c>
      <c r="D25">
        <v>2</v>
      </c>
      <c r="E25" t="s">
        <v>1618</v>
      </c>
      <c r="F25" s="2">
        <v>1.0019097222222222</v>
      </c>
      <c r="G25" t="s">
        <v>1360</v>
      </c>
      <c r="H25" s="1"/>
      <c r="I25" s="1"/>
      <c r="J25" s="1">
        <v>3</v>
      </c>
      <c r="K25" s="1"/>
      <c r="L25" s="1"/>
      <c r="M25" s="1"/>
      <c r="N25" s="1">
        <v>1</v>
      </c>
      <c r="O25" s="1">
        <v>1</v>
      </c>
      <c r="P25" s="1">
        <v>1</v>
      </c>
      <c r="Q25" s="1"/>
      <c r="R25" s="1">
        <v>1</v>
      </c>
      <c r="S25" s="1"/>
      <c r="T25">
        <f t="shared" si="1"/>
        <v>7</v>
      </c>
      <c r="U25">
        <v>4</v>
      </c>
      <c r="V25" s="1" t="s">
        <v>73</v>
      </c>
      <c r="BF25" s="7"/>
      <c r="BL25" s="45"/>
      <c r="BM25" s="45"/>
      <c r="BN25" s="46" t="s">
        <v>91</v>
      </c>
      <c r="BO25" s="46">
        <v>0.7</v>
      </c>
      <c r="BP25" s="48" t="s">
        <v>167</v>
      </c>
      <c r="BQ25" s="48">
        <v>2</v>
      </c>
      <c r="BR25" s="50" t="s">
        <v>145</v>
      </c>
      <c r="BS25" s="50">
        <v>1.1000000000000001</v>
      </c>
      <c r="CE25" t="s">
        <v>655</v>
      </c>
      <c r="CF25" t="s">
        <v>1072</v>
      </c>
      <c r="CG25" t="s">
        <v>866</v>
      </c>
    </row>
    <row r="26" spans="1:85" x14ac:dyDescent="0.35">
      <c r="A26" t="s">
        <v>1331</v>
      </c>
      <c r="F26" s="2">
        <v>1.0020833333333334</v>
      </c>
      <c r="G26" t="s">
        <v>1356</v>
      </c>
      <c r="H26" s="1"/>
      <c r="I26" s="1"/>
      <c r="J26" s="1">
        <v>7</v>
      </c>
      <c r="K26" s="1"/>
      <c r="L26" s="1"/>
      <c r="M26" s="1"/>
      <c r="N26" s="1"/>
      <c r="O26" s="1"/>
      <c r="P26" s="1"/>
      <c r="Q26" s="1"/>
      <c r="R26" s="1"/>
      <c r="S26" s="1"/>
      <c r="T26">
        <f t="shared" si="1"/>
        <v>7</v>
      </c>
      <c r="U26">
        <v>10</v>
      </c>
      <c r="V26" s="1" t="s">
        <v>73</v>
      </c>
      <c r="BF26" s="7"/>
      <c r="BL26" s="45"/>
      <c r="BM26" s="45"/>
      <c r="BN26" s="46" t="s">
        <v>199</v>
      </c>
      <c r="BO26" s="46">
        <v>0.6</v>
      </c>
      <c r="BP26" s="48" t="s">
        <v>168</v>
      </c>
      <c r="BQ26" s="48">
        <v>1.45</v>
      </c>
      <c r="BR26" s="50" t="s">
        <v>146</v>
      </c>
      <c r="BS26" s="50">
        <v>0.6</v>
      </c>
      <c r="CE26" t="s">
        <v>656</v>
      </c>
      <c r="CF26" t="s">
        <v>1209</v>
      </c>
      <c r="CG26" t="s">
        <v>867</v>
      </c>
    </row>
    <row r="27" spans="1:85" x14ac:dyDescent="0.35">
      <c r="A27" t="s">
        <v>3</v>
      </c>
      <c r="F27" s="2">
        <v>1.0013888888888889</v>
      </c>
      <c r="G27" t="s">
        <v>1323</v>
      </c>
      <c r="H27" s="1">
        <v>5</v>
      </c>
      <c r="I27" s="1">
        <v>1</v>
      </c>
      <c r="J27" s="1"/>
      <c r="K27" s="1"/>
      <c r="L27" s="1"/>
      <c r="M27" s="1"/>
      <c r="N27" s="1"/>
      <c r="O27" s="1"/>
      <c r="P27" s="1"/>
      <c r="Q27" s="1"/>
      <c r="R27" s="1"/>
      <c r="S27" s="1"/>
      <c r="T27">
        <f t="shared" si="1"/>
        <v>6</v>
      </c>
      <c r="U27">
        <v>6</v>
      </c>
      <c r="V27" s="1" t="s">
        <v>70</v>
      </c>
      <c r="BF27" s="7"/>
      <c r="BL27" s="45"/>
      <c r="BM27" s="45"/>
      <c r="BN27" s="46" t="s">
        <v>200</v>
      </c>
      <c r="BO27" s="46">
        <v>1.05</v>
      </c>
      <c r="BP27" s="48" t="s">
        <v>597</v>
      </c>
      <c r="BQ27" s="48">
        <v>1.3</v>
      </c>
      <c r="BR27" s="51" t="s">
        <v>147</v>
      </c>
      <c r="BS27" s="50">
        <v>1.2</v>
      </c>
      <c r="CE27" t="s">
        <v>657</v>
      </c>
      <c r="CF27" t="s">
        <v>1073</v>
      </c>
      <c r="CG27" t="s">
        <v>868</v>
      </c>
    </row>
    <row r="28" spans="1:85" x14ac:dyDescent="0.35">
      <c r="A28" t="s">
        <v>9</v>
      </c>
      <c r="F28" s="2">
        <v>1.0015046296296297</v>
      </c>
      <c r="G28" t="s">
        <v>1324</v>
      </c>
      <c r="H28" s="1"/>
      <c r="I28" s="1">
        <v>4</v>
      </c>
      <c r="J28" s="1"/>
      <c r="K28" s="1"/>
      <c r="L28" s="1"/>
      <c r="M28" s="1"/>
      <c r="N28" s="1"/>
      <c r="O28" s="1"/>
      <c r="P28" s="1"/>
      <c r="Q28" s="1"/>
      <c r="R28" s="1">
        <v>1</v>
      </c>
      <c r="S28" s="1"/>
      <c r="T28">
        <f t="shared" si="1"/>
        <v>5</v>
      </c>
      <c r="U28">
        <v>1</v>
      </c>
      <c r="V28" s="1" t="s">
        <v>70</v>
      </c>
      <c r="BF28" s="7"/>
      <c r="BL28" s="45"/>
      <c r="BM28" s="45"/>
      <c r="BN28" s="46" t="s">
        <v>1309</v>
      </c>
      <c r="BO28" s="46">
        <v>1.05</v>
      </c>
      <c r="BP28" s="48" t="s">
        <v>169</v>
      </c>
      <c r="BQ28" s="48">
        <v>1.75</v>
      </c>
      <c r="BR28" s="50" t="s">
        <v>148</v>
      </c>
      <c r="BS28" s="50">
        <v>0.8</v>
      </c>
      <c r="CE28" t="s">
        <v>658</v>
      </c>
      <c r="CF28" t="s">
        <v>1074</v>
      </c>
      <c r="CG28" t="s">
        <v>869</v>
      </c>
    </row>
    <row r="29" spans="1:85" x14ac:dyDescent="0.35">
      <c r="A29" t="s">
        <v>1332</v>
      </c>
      <c r="F29" s="2">
        <v>1.0013888888888889</v>
      </c>
      <c r="G29" t="s">
        <v>25</v>
      </c>
      <c r="H29" s="1">
        <v>5</v>
      </c>
      <c r="I29" s="1">
        <v>1</v>
      </c>
      <c r="J29" s="1"/>
      <c r="K29" s="1"/>
      <c r="L29" s="1"/>
      <c r="M29" s="1"/>
      <c r="N29" s="1"/>
      <c r="O29" s="1"/>
      <c r="P29" s="1"/>
      <c r="Q29" s="1"/>
      <c r="R29" s="1"/>
      <c r="S29" s="1"/>
      <c r="T29">
        <f t="shared" si="1"/>
        <v>6</v>
      </c>
      <c r="U29">
        <v>6</v>
      </c>
      <c r="V29" s="1" t="s">
        <v>2450</v>
      </c>
      <c r="BF29" s="7"/>
      <c r="BL29" s="45"/>
      <c r="BM29" s="45"/>
      <c r="BN29" s="46" t="s">
        <v>201</v>
      </c>
      <c r="BO29" s="46">
        <v>0.7</v>
      </c>
      <c r="BP29" s="48" t="s">
        <v>170</v>
      </c>
      <c r="BQ29" s="48">
        <v>1.8</v>
      </c>
      <c r="BR29" s="50" t="s">
        <v>149</v>
      </c>
      <c r="BS29" s="50">
        <v>0.5</v>
      </c>
      <c r="CE29" t="s">
        <v>659</v>
      </c>
      <c r="CF29" t="s">
        <v>1210</v>
      </c>
      <c r="CG29" t="s">
        <v>870</v>
      </c>
    </row>
    <row r="30" spans="1:85" x14ac:dyDescent="0.35">
      <c r="A30" t="s">
        <v>1333</v>
      </c>
      <c r="F30" s="2">
        <v>1.0015046296296297</v>
      </c>
      <c r="G30" t="s">
        <v>26</v>
      </c>
      <c r="H30" s="1"/>
      <c r="I30" s="1">
        <v>4</v>
      </c>
      <c r="J30" s="1"/>
      <c r="K30" s="1"/>
      <c r="L30" s="1"/>
      <c r="M30" s="1"/>
      <c r="N30" s="1"/>
      <c r="O30" s="1"/>
      <c r="P30" s="1"/>
      <c r="Q30" s="1"/>
      <c r="R30" s="1">
        <v>1</v>
      </c>
      <c r="S30" s="1"/>
      <c r="T30">
        <f t="shared" si="1"/>
        <v>5</v>
      </c>
      <c r="U30">
        <v>1</v>
      </c>
      <c r="V30" s="1" t="s">
        <v>2450</v>
      </c>
      <c r="BF30" s="7"/>
      <c r="BL30" s="45"/>
      <c r="BM30" s="45"/>
      <c r="BN30" s="46" t="s">
        <v>202</v>
      </c>
      <c r="BO30" s="46">
        <v>1.1000000000000001</v>
      </c>
      <c r="BP30" s="48" t="s">
        <v>171</v>
      </c>
      <c r="BQ30" s="48">
        <v>1.45</v>
      </c>
      <c r="BR30" s="50" t="s">
        <v>150</v>
      </c>
      <c r="BS30" s="50">
        <v>0.3</v>
      </c>
      <c r="CE30" t="s">
        <v>660</v>
      </c>
      <c r="CF30" t="s">
        <v>1250</v>
      </c>
      <c r="CG30" t="s">
        <v>871</v>
      </c>
    </row>
    <row r="31" spans="1:85" x14ac:dyDescent="0.35">
      <c r="A31" t="s">
        <v>10</v>
      </c>
      <c r="F31" s="2">
        <v>1.0016203703703703</v>
      </c>
      <c r="G31" t="s">
        <v>1325</v>
      </c>
      <c r="H31" s="1">
        <v>5</v>
      </c>
      <c r="I31" s="1">
        <v>1</v>
      </c>
      <c r="J31" s="1">
        <v>1</v>
      </c>
      <c r="K31" s="1"/>
      <c r="L31" s="1"/>
      <c r="M31" s="1"/>
      <c r="N31" s="1"/>
      <c r="O31" s="1"/>
      <c r="P31" s="1"/>
      <c r="Q31" s="1"/>
      <c r="R31" s="1"/>
      <c r="S31" s="1"/>
      <c r="T31">
        <f t="shared" si="1"/>
        <v>7</v>
      </c>
      <c r="U31">
        <v>7</v>
      </c>
      <c r="V31" s="1" t="s">
        <v>71</v>
      </c>
      <c r="BF31" s="7"/>
      <c r="BL31" s="45"/>
      <c r="BM31" s="45"/>
      <c r="BN31" s="46" t="s">
        <v>203</v>
      </c>
      <c r="BO31" s="46">
        <v>1.4</v>
      </c>
      <c r="BP31" s="48" t="s">
        <v>172</v>
      </c>
      <c r="BQ31" s="48">
        <v>1.1499999999999999</v>
      </c>
      <c r="BR31" s="50" t="s">
        <v>151</v>
      </c>
      <c r="BS31" s="50">
        <v>1</v>
      </c>
      <c r="CE31" t="s">
        <v>661</v>
      </c>
      <c r="CF31" t="s">
        <v>1075</v>
      </c>
      <c r="CG31" t="s">
        <v>872</v>
      </c>
    </row>
    <row r="32" spans="1:85" x14ac:dyDescent="0.35">
      <c r="A32" t="s">
        <v>11</v>
      </c>
      <c r="F32" s="2">
        <v>1.0016782407407407</v>
      </c>
      <c r="G32" t="s">
        <v>1326</v>
      </c>
      <c r="H32" s="1"/>
      <c r="I32" s="1">
        <v>4</v>
      </c>
      <c r="J32" s="1">
        <v>2</v>
      </c>
      <c r="K32" s="1"/>
      <c r="L32" s="1"/>
      <c r="M32" s="1"/>
      <c r="N32" s="1"/>
      <c r="O32" s="1"/>
      <c r="P32" s="1"/>
      <c r="Q32" s="1"/>
      <c r="R32" s="1"/>
      <c r="S32" s="1"/>
      <c r="T32">
        <f t="shared" si="1"/>
        <v>6</v>
      </c>
      <c r="U32">
        <v>2</v>
      </c>
      <c r="V32" s="1" t="s">
        <v>71</v>
      </c>
      <c r="BF32" s="7"/>
      <c r="BL32" s="45"/>
      <c r="BM32" s="45"/>
      <c r="BN32" s="46" t="s">
        <v>204</v>
      </c>
      <c r="BO32" s="46">
        <v>0.7</v>
      </c>
      <c r="BP32" s="48" t="s">
        <v>598</v>
      </c>
      <c r="BQ32" s="48">
        <v>0.7</v>
      </c>
      <c r="BR32" s="50" t="s">
        <v>152</v>
      </c>
      <c r="BS32" s="50">
        <v>0.8</v>
      </c>
      <c r="CE32" t="s">
        <v>662</v>
      </c>
      <c r="CF32" t="s">
        <v>1211</v>
      </c>
      <c r="CG32" t="s">
        <v>873</v>
      </c>
    </row>
    <row r="33" spans="1:85" x14ac:dyDescent="0.35">
      <c r="A33" t="s">
        <v>1334</v>
      </c>
      <c r="D33">
        <v>3</v>
      </c>
      <c r="E33" t="s">
        <v>18</v>
      </c>
      <c r="F33" s="2">
        <v>1.0016203703703703</v>
      </c>
      <c r="G33" t="s">
        <v>27</v>
      </c>
      <c r="H33" s="1">
        <v>3</v>
      </c>
      <c r="I33" s="1">
        <v>1</v>
      </c>
      <c r="J33" s="1">
        <v>2</v>
      </c>
      <c r="K33" s="1"/>
      <c r="L33" s="1">
        <v>1</v>
      </c>
      <c r="M33" s="1"/>
      <c r="N33" s="1"/>
      <c r="O33" s="1"/>
      <c r="P33" s="1"/>
      <c r="Q33" s="1">
        <v>3</v>
      </c>
      <c r="R33" s="1"/>
      <c r="S33" s="1"/>
      <c r="T33">
        <f t="shared" si="1"/>
        <v>10</v>
      </c>
      <c r="U33">
        <v>8</v>
      </c>
      <c r="V33" s="1" t="s">
        <v>72</v>
      </c>
      <c r="BF33" s="7"/>
      <c r="BL33" s="45"/>
      <c r="BM33" s="45"/>
      <c r="BN33" s="46" t="s">
        <v>205</v>
      </c>
      <c r="BO33" s="46">
        <v>0.9</v>
      </c>
      <c r="BP33" s="48" t="s">
        <v>599</v>
      </c>
      <c r="BQ33" s="48">
        <v>1.05</v>
      </c>
      <c r="BR33" s="50" t="s">
        <v>153</v>
      </c>
      <c r="BS33" s="50">
        <v>1.2</v>
      </c>
      <c r="CE33" t="s">
        <v>663</v>
      </c>
      <c r="CF33" t="s">
        <v>1076</v>
      </c>
      <c r="CG33" t="s">
        <v>874</v>
      </c>
    </row>
    <row r="34" spans="1:85" x14ac:dyDescent="0.35">
      <c r="A34" t="s">
        <v>1335</v>
      </c>
      <c r="D34">
        <v>3</v>
      </c>
      <c r="E34" t="s">
        <v>1620</v>
      </c>
      <c r="F34" s="2">
        <v>1.0019097222222222</v>
      </c>
      <c r="G34" t="s">
        <v>28</v>
      </c>
      <c r="H34" s="1"/>
      <c r="I34" s="1">
        <v>3</v>
      </c>
      <c r="J34" s="1">
        <v>3</v>
      </c>
      <c r="K34" s="1"/>
      <c r="L34" s="1"/>
      <c r="M34" s="1"/>
      <c r="N34" s="1"/>
      <c r="O34" s="1"/>
      <c r="P34" s="1"/>
      <c r="Q34" s="1">
        <v>4</v>
      </c>
      <c r="R34" s="1">
        <v>1</v>
      </c>
      <c r="S34" s="1"/>
      <c r="T34">
        <f t="shared" si="1"/>
        <v>11</v>
      </c>
      <c r="U34">
        <v>3</v>
      </c>
      <c r="V34" s="1" t="s">
        <v>72</v>
      </c>
      <c r="BF34" s="7"/>
      <c r="BL34" s="45"/>
      <c r="BM34" s="45"/>
      <c r="BN34" s="46" t="s">
        <v>206</v>
      </c>
      <c r="BO34" s="46">
        <v>0.8</v>
      </c>
      <c r="BP34" s="48" t="s">
        <v>173</v>
      </c>
      <c r="BQ34" s="48">
        <v>1.85</v>
      </c>
      <c r="BR34" s="50" t="s">
        <v>1297</v>
      </c>
      <c r="BS34" s="50">
        <v>1.8</v>
      </c>
      <c r="CE34" t="s">
        <v>664</v>
      </c>
      <c r="CF34" t="s">
        <v>1077</v>
      </c>
      <c r="CG34" t="s">
        <v>875</v>
      </c>
    </row>
    <row r="35" spans="1:85" x14ac:dyDescent="0.35">
      <c r="A35" t="s">
        <v>1337</v>
      </c>
      <c r="D35">
        <v>3</v>
      </c>
      <c r="E35" t="s">
        <v>1619</v>
      </c>
      <c r="F35" s="2">
        <v>1.0019675925925926</v>
      </c>
      <c r="G35" t="s">
        <v>1327</v>
      </c>
      <c r="H35" s="1">
        <v>5</v>
      </c>
      <c r="I35" s="1">
        <v>1</v>
      </c>
      <c r="J35" s="1">
        <v>2</v>
      </c>
      <c r="K35" s="1"/>
      <c r="L35" s="1"/>
      <c r="M35" s="1"/>
      <c r="N35" s="1"/>
      <c r="O35" s="1"/>
      <c r="P35" s="1"/>
      <c r="Q35" s="1"/>
      <c r="R35" s="1"/>
      <c r="S35" s="1"/>
      <c r="T35">
        <f t="shared" si="1"/>
        <v>8</v>
      </c>
      <c r="U35">
        <v>11</v>
      </c>
      <c r="V35" s="1" t="s">
        <v>73</v>
      </c>
      <c r="BF35" s="7"/>
      <c r="BL35" s="45"/>
      <c r="BM35" s="45"/>
      <c r="BN35" s="46" t="s">
        <v>207</v>
      </c>
      <c r="BO35" s="46">
        <v>0.8</v>
      </c>
      <c r="BP35" s="48" t="s">
        <v>174</v>
      </c>
      <c r="BQ35" s="48">
        <v>0.95</v>
      </c>
      <c r="BR35" s="50"/>
      <c r="BS35" s="50"/>
      <c r="CE35" t="s">
        <v>665</v>
      </c>
      <c r="CF35" t="s">
        <v>1078</v>
      </c>
      <c r="CG35" t="s">
        <v>876</v>
      </c>
    </row>
    <row r="36" spans="1:85" x14ac:dyDescent="0.35">
      <c r="D36">
        <v>3</v>
      </c>
      <c r="E36" t="s">
        <v>1618</v>
      </c>
      <c r="F36" s="2">
        <v>1.002199074074074</v>
      </c>
      <c r="G36" t="s">
        <v>1328</v>
      </c>
      <c r="H36" s="1"/>
      <c r="I36" s="1">
        <v>5</v>
      </c>
      <c r="J36" s="1">
        <v>3</v>
      </c>
      <c r="K36" s="1"/>
      <c r="L36" s="1"/>
      <c r="M36" s="1"/>
      <c r="N36" s="1"/>
      <c r="O36" s="1"/>
      <c r="P36" s="1"/>
      <c r="Q36" s="1"/>
      <c r="R36" s="1"/>
      <c r="S36" s="1"/>
      <c r="T36">
        <f t="shared" si="1"/>
        <v>8</v>
      </c>
      <c r="U36">
        <v>12</v>
      </c>
      <c r="V36" s="1" t="s">
        <v>73</v>
      </c>
      <c r="BF36" s="7"/>
      <c r="BL36" s="45"/>
      <c r="BM36" s="45"/>
      <c r="BN36" s="46" t="s">
        <v>208</v>
      </c>
      <c r="BO36" s="46">
        <v>0.4</v>
      </c>
      <c r="BP36" s="48" t="s">
        <v>175</v>
      </c>
      <c r="BQ36" s="48">
        <v>1.35</v>
      </c>
      <c r="BR36" s="50"/>
      <c r="BS36" s="50"/>
      <c r="CE36" t="s">
        <v>666</v>
      </c>
      <c r="CF36" t="s">
        <v>1079</v>
      </c>
      <c r="CG36" t="s">
        <v>877</v>
      </c>
    </row>
    <row r="37" spans="1:85" x14ac:dyDescent="0.35">
      <c r="D37">
        <v>3</v>
      </c>
      <c r="E37" t="str">
        <f>IF('Coach Card'!$T$5="","Hybrid - Choreography (DD = 1)","")</f>
        <v>Hybrid - Choreography (DD = 1)</v>
      </c>
      <c r="F37" s="2">
        <v>1.0019097222222222</v>
      </c>
      <c r="G37" t="s">
        <v>1361</v>
      </c>
      <c r="H37" s="1"/>
      <c r="I37" s="1"/>
      <c r="J37" s="1">
        <v>3</v>
      </c>
      <c r="K37" s="1"/>
      <c r="L37" s="1"/>
      <c r="M37" s="1"/>
      <c r="N37" s="1">
        <v>1</v>
      </c>
      <c r="O37" s="1">
        <v>1</v>
      </c>
      <c r="P37" s="1">
        <v>1</v>
      </c>
      <c r="Q37" s="1"/>
      <c r="R37" s="1">
        <v>1</v>
      </c>
      <c r="S37" s="1"/>
      <c r="T37">
        <f t="shared" si="1"/>
        <v>7</v>
      </c>
      <c r="U37">
        <v>4</v>
      </c>
      <c r="V37" s="1" t="s">
        <v>73</v>
      </c>
      <c r="BF37" s="7"/>
      <c r="BL37" s="45"/>
      <c r="BM37" s="45"/>
      <c r="BN37" s="46" t="s">
        <v>209</v>
      </c>
      <c r="BO37" s="46">
        <v>0.3</v>
      </c>
      <c r="BP37" s="48" t="s">
        <v>176</v>
      </c>
      <c r="BQ37" s="48">
        <v>1.6</v>
      </c>
      <c r="BR37" s="50"/>
      <c r="BS37" s="50"/>
      <c r="CE37" t="s">
        <v>667</v>
      </c>
      <c r="CF37" t="s">
        <v>1212</v>
      </c>
      <c r="CG37" t="s">
        <v>878</v>
      </c>
    </row>
    <row r="38" spans="1:85" x14ac:dyDescent="0.35">
      <c r="A38" t="s">
        <v>1331</v>
      </c>
      <c r="F38" s="2">
        <v>1.0020833333333334</v>
      </c>
      <c r="G38" t="s">
        <v>1329</v>
      </c>
      <c r="H38" s="1"/>
      <c r="I38" s="1"/>
      <c r="J38" s="1">
        <v>7</v>
      </c>
      <c r="K38" s="1"/>
      <c r="L38" s="1"/>
      <c r="M38" s="1"/>
      <c r="N38" s="1"/>
      <c r="O38" s="1"/>
      <c r="P38" s="1"/>
      <c r="Q38" s="1"/>
      <c r="R38" s="1"/>
      <c r="S38" s="1"/>
      <c r="T38">
        <f t="shared" si="1"/>
        <v>7</v>
      </c>
      <c r="U38">
        <v>10</v>
      </c>
      <c r="V38" s="1" t="s">
        <v>73</v>
      </c>
      <c r="BF38" s="7"/>
      <c r="BL38" s="45"/>
      <c r="BM38" s="45"/>
      <c r="BN38" s="46" t="s">
        <v>210</v>
      </c>
      <c r="BO38" s="46">
        <v>1.1000000000000001</v>
      </c>
      <c r="BP38" s="48" t="s">
        <v>177</v>
      </c>
      <c r="BQ38" s="48">
        <v>1.45</v>
      </c>
      <c r="BR38" s="50"/>
      <c r="BS38" s="50"/>
      <c r="CE38" t="s">
        <v>668</v>
      </c>
      <c r="CF38" t="s">
        <v>1213</v>
      </c>
      <c r="CG38" t="s">
        <v>879</v>
      </c>
    </row>
    <row r="39" spans="1:85" x14ac:dyDescent="0.35">
      <c r="A39" t="s">
        <v>9</v>
      </c>
      <c r="BF39" s="7"/>
      <c r="BL39" s="45"/>
      <c r="BM39" s="45"/>
      <c r="BN39" s="46" t="s">
        <v>211</v>
      </c>
      <c r="BO39" s="46">
        <v>0.7</v>
      </c>
      <c r="BP39" s="48" t="s">
        <v>178</v>
      </c>
      <c r="BQ39" s="48">
        <v>1.55</v>
      </c>
      <c r="BR39" s="50"/>
      <c r="BS39" s="50"/>
      <c r="CE39" t="s">
        <v>669</v>
      </c>
      <c r="CF39" t="s">
        <v>1214</v>
      </c>
      <c r="CG39" t="s">
        <v>880</v>
      </c>
    </row>
    <row r="40" spans="1:85" x14ac:dyDescent="0.35">
      <c r="A40" t="s">
        <v>1333</v>
      </c>
      <c r="BF40" s="7"/>
      <c r="BL40" s="45"/>
      <c r="BM40" s="45"/>
      <c r="BN40" s="46" t="s">
        <v>212</v>
      </c>
      <c r="BO40" s="46">
        <v>0.95</v>
      </c>
      <c r="BP40" s="48" t="s">
        <v>179</v>
      </c>
      <c r="BQ40" s="48">
        <v>1.5</v>
      </c>
      <c r="BR40" s="50"/>
      <c r="BS40" s="50"/>
      <c r="CE40" t="s">
        <v>670</v>
      </c>
      <c r="CF40" t="s">
        <v>1080</v>
      </c>
      <c r="CG40" t="s">
        <v>881</v>
      </c>
    </row>
    <row r="41" spans="1:85" x14ac:dyDescent="0.35">
      <c r="A41" t="s">
        <v>11</v>
      </c>
      <c r="BF41" s="7"/>
      <c r="BL41" s="45"/>
      <c r="BM41" s="45"/>
      <c r="BN41" s="46" t="s">
        <v>213</v>
      </c>
      <c r="BO41" s="46">
        <v>1.25</v>
      </c>
      <c r="BP41" s="48" t="s">
        <v>180</v>
      </c>
      <c r="BQ41" s="48">
        <v>0.5</v>
      </c>
      <c r="BR41" s="50"/>
      <c r="BS41" s="50"/>
      <c r="CE41" t="s">
        <v>671</v>
      </c>
      <c r="CF41" t="s">
        <v>1081</v>
      </c>
      <c r="CG41" t="s">
        <v>882</v>
      </c>
    </row>
    <row r="42" spans="1:85" x14ac:dyDescent="0.35">
      <c r="A42" t="s">
        <v>1335</v>
      </c>
      <c r="BL42" s="45"/>
      <c r="BM42" s="45"/>
      <c r="BN42" s="46" t="s">
        <v>214</v>
      </c>
      <c r="BO42" s="46">
        <v>1.2</v>
      </c>
      <c r="BP42" s="48" t="s">
        <v>181</v>
      </c>
      <c r="BQ42" s="48">
        <v>1.45</v>
      </c>
      <c r="BR42" s="50"/>
      <c r="BS42" s="50"/>
      <c r="CE42" t="s">
        <v>672</v>
      </c>
      <c r="CF42" t="s">
        <v>1082</v>
      </c>
      <c r="CG42" t="s">
        <v>883</v>
      </c>
    </row>
    <row r="43" spans="1:85" x14ac:dyDescent="0.35">
      <c r="A43" t="s">
        <v>1337</v>
      </c>
      <c r="D43">
        <v>4</v>
      </c>
      <c r="E43" t="s">
        <v>18</v>
      </c>
      <c r="BL43" s="45"/>
      <c r="BM43" s="45"/>
      <c r="BN43" s="46" t="s">
        <v>1284</v>
      </c>
      <c r="BO43" s="46">
        <v>1.05</v>
      </c>
      <c r="BP43" s="48" t="s">
        <v>182</v>
      </c>
      <c r="BQ43" s="48">
        <v>0.5</v>
      </c>
      <c r="BR43" s="50"/>
      <c r="BS43" s="50"/>
      <c r="CE43" t="s">
        <v>673</v>
      </c>
      <c r="CF43" t="s">
        <v>1215</v>
      </c>
      <c r="CG43" t="s">
        <v>884</v>
      </c>
    </row>
    <row r="44" spans="1:85" x14ac:dyDescent="0.35">
      <c r="D44">
        <v>4</v>
      </c>
      <c r="E44" t="s">
        <v>550</v>
      </c>
      <c r="BL44" s="45"/>
      <c r="BM44" s="45"/>
      <c r="BN44" s="46"/>
      <c r="BO44" s="46"/>
      <c r="BP44" s="48" t="s">
        <v>183</v>
      </c>
      <c r="BQ44" s="48">
        <v>1.2</v>
      </c>
      <c r="BR44" s="50"/>
      <c r="BS44" s="50"/>
      <c r="CE44" t="s">
        <v>674</v>
      </c>
      <c r="CF44" t="s">
        <v>1083</v>
      </c>
      <c r="CG44" t="s">
        <v>885</v>
      </c>
    </row>
    <row r="45" spans="1:85" x14ac:dyDescent="0.35">
      <c r="D45">
        <v>4</v>
      </c>
      <c r="E45" t="s">
        <v>572</v>
      </c>
      <c r="BL45" s="45"/>
      <c r="BM45" s="45"/>
      <c r="BN45" s="46"/>
      <c r="BO45" s="46"/>
      <c r="BP45" s="48" t="s">
        <v>184</v>
      </c>
      <c r="BQ45" s="48">
        <v>0.8</v>
      </c>
      <c r="BR45" s="50"/>
      <c r="BS45" s="50"/>
      <c r="CE45" t="s">
        <v>675</v>
      </c>
      <c r="CF45" t="s">
        <v>1084</v>
      </c>
      <c r="CG45" t="s">
        <v>886</v>
      </c>
    </row>
    <row r="46" spans="1:85" x14ac:dyDescent="0.35">
      <c r="D46">
        <v>4</v>
      </c>
      <c r="E46" t="s">
        <v>551</v>
      </c>
      <c r="BL46" s="45"/>
      <c r="BM46" s="45"/>
      <c r="BN46" s="46"/>
      <c r="BO46" s="46"/>
      <c r="BP46" s="48" t="s">
        <v>185</v>
      </c>
      <c r="BQ46" s="48">
        <v>1.6</v>
      </c>
      <c r="BR46" s="50"/>
      <c r="BS46" s="50"/>
      <c r="CE46" t="s">
        <v>676</v>
      </c>
      <c r="CF46" t="s">
        <v>1085</v>
      </c>
      <c r="CG46" t="s">
        <v>887</v>
      </c>
    </row>
    <row r="47" spans="1:85" x14ac:dyDescent="0.35">
      <c r="D47">
        <v>4</v>
      </c>
      <c r="E47" t="s">
        <v>552</v>
      </c>
      <c r="BL47" s="45"/>
      <c r="BM47" s="45"/>
      <c r="BN47" s="46"/>
      <c r="BO47" s="46"/>
      <c r="BP47" s="48" t="s">
        <v>186</v>
      </c>
      <c r="BQ47" s="48">
        <v>1.75</v>
      </c>
      <c r="BR47" s="50"/>
      <c r="BS47" s="50"/>
      <c r="CE47" t="s">
        <v>677</v>
      </c>
      <c r="CF47" t="s">
        <v>1216</v>
      </c>
      <c r="CG47" t="s">
        <v>888</v>
      </c>
    </row>
    <row r="48" spans="1:85" x14ac:dyDescent="0.35">
      <c r="D48">
        <v>4</v>
      </c>
      <c r="E48" t="s">
        <v>554</v>
      </c>
      <c r="BL48" s="45"/>
      <c r="BM48" s="45"/>
      <c r="BN48" s="46"/>
      <c r="BO48" s="46"/>
      <c r="BP48" s="48" t="s">
        <v>187</v>
      </c>
      <c r="BQ48" s="48">
        <v>1</v>
      </c>
      <c r="BR48" s="50"/>
      <c r="BS48" s="50"/>
      <c r="CE48" t="s">
        <v>678</v>
      </c>
      <c r="CF48" t="s">
        <v>1217</v>
      </c>
      <c r="CG48" t="s">
        <v>889</v>
      </c>
    </row>
    <row r="49" spans="4:85" x14ac:dyDescent="0.35">
      <c r="D49">
        <v>4</v>
      </c>
      <c r="E49" t="s">
        <v>553</v>
      </c>
      <c r="BL49" s="45"/>
      <c r="BM49" s="45"/>
      <c r="BN49" s="46"/>
      <c r="BO49" s="46"/>
      <c r="BP49" s="48" t="s">
        <v>594</v>
      </c>
      <c r="BQ49" s="48">
        <v>1.7</v>
      </c>
      <c r="BR49" s="50"/>
      <c r="BS49" s="50"/>
      <c r="CE49" t="s">
        <v>679</v>
      </c>
      <c r="CF49" t="s">
        <v>1218</v>
      </c>
      <c r="CG49" t="s">
        <v>890</v>
      </c>
    </row>
    <row r="50" spans="4:85" x14ac:dyDescent="0.35">
      <c r="D50">
        <v>4</v>
      </c>
      <c r="E50" t="str">
        <f>IF(AND('Coach Card'!$T$5="",RIGHT('Coach Card'!$F$8,11)="Combination"),"Hybrid - Team (must have 4 athl.)","Hybrid - All Team swimmers")</f>
        <v>Hybrid - All Team swimmers</v>
      </c>
      <c r="BL50" s="45"/>
      <c r="BM50" s="45"/>
      <c r="BN50" s="46"/>
      <c r="BO50" s="46"/>
      <c r="BP50" s="48" t="s">
        <v>595</v>
      </c>
      <c r="BQ50" s="48">
        <v>1.7</v>
      </c>
      <c r="BR50" s="50"/>
      <c r="BS50" s="50"/>
      <c r="CE50" t="s">
        <v>680</v>
      </c>
      <c r="CF50" t="s">
        <v>1086</v>
      </c>
      <c r="CG50" t="s">
        <v>891</v>
      </c>
    </row>
    <row r="51" spans="4:85" x14ac:dyDescent="0.35">
      <c r="D51">
        <v>4</v>
      </c>
      <c r="E51" t="s">
        <v>2510</v>
      </c>
      <c r="F51" s="1" t="s">
        <v>45</v>
      </c>
      <c r="G51" t="s">
        <v>22</v>
      </c>
      <c r="H51" t="s">
        <v>20</v>
      </c>
      <c r="I51" t="s">
        <v>19</v>
      </c>
      <c r="J51" t="s">
        <v>12</v>
      </c>
      <c r="K51" t="s">
        <v>29</v>
      </c>
      <c r="L51" t="s">
        <v>31</v>
      </c>
      <c r="M51" t="s">
        <v>33</v>
      </c>
      <c r="N51" t="s">
        <v>32</v>
      </c>
      <c r="O51" t="s">
        <v>34</v>
      </c>
      <c r="P51" t="s">
        <v>1625</v>
      </c>
      <c r="Q51" t="s">
        <v>30</v>
      </c>
      <c r="R51" t="s">
        <v>1626</v>
      </c>
      <c r="S51" t="s">
        <v>1773</v>
      </c>
      <c r="U51" t="s">
        <v>40</v>
      </c>
      <c r="V51" s="1" t="s">
        <v>1622</v>
      </c>
      <c r="BL51" s="45"/>
      <c r="BM51" s="45"/>
      <c r="BN51" s="46"/>
      <c r="BO51" s="46"/>
      <c r="BP51" s="48" t="s">
        <v>596</v>
      </c>
      <c r="BQ51" s="48">
        <v>1.8</v>
      </c>
      <c r="BR51" s="50"/>
      <c r="BS51" s="50"/>
      <c r="CE51" t="s">
        <v>681</v>
      </c>
      <c r="CF51" t="s">
        <v>1087</v>
      </c>
      <c r="CG51" t="s">
        <v>892</v>
      </c>
    </row>
    <row r="52" spans="4:85" x14ac:dyDescent="0.35">
      <c r="BL52" s="45"/>
      <c r="BM52" s="45"/>
      <c r="BN52" s="46"/>
      <c r="BO52" s="46"/>
      <c r="BP52" s="48" t="s">
        <v>600</v>
      </c>
      <c r="BQ52" s="48">
        <v>1.5</v>
      </c>
      <c r="BR52" s="50"/>
      <c r="BS52" s="50"/>
      <c r="CE52" t="s">
        <v>682</v>
      </c>
      <c r="CF52" t="s">
        <v>1088</v>
      </c>
      <c r="CG52" t="s">
        <v>893</v>
      </c>
    </row>
    <row r="53" spans="4:85" x14ac:dyDescent="0.35">
      <c r="D53">
        <v>5</v>
      </c>
      <c r="F53" s="2">
        <v>1.0013888888888889</v>
      </c>
      <c r="G53" t="s">
        <v>1319</v>
      </c>
      <c r="I53">
        <v>4</v>
      </c>
      <c r="T53">
        <v>4</v>
      </c>
      <c r="U53">
        <v>1</v>
      </c>
      <c r="V53" s="1" t="s">
        <v>70</v>
      </c>
      <c r="BL53" s="45"/>
      <c r="BM53" s="45"/>
      <c r="BN53" s="46"/>
      <c r="BO53" s="46"/>
      <c r="BP53" s="48" t="s">
        <v>1291</v>
      </c>
      <c r="BQ53" s="48">
        <v>2.15</v>
      </c>
      <c r="BR53" s="50"/>
      <c r="BS53" s="50"/>
      <c r="CE53" t="s">
        <v>683</v>
      </c>
      <c r="CF53" t="s">
        <v>1089</v>
      </c>
      <c r="CG53" t="s">
        <v>894</v>
      </c>
    </row>
    <row r="54" spans="4:85" x14ac:dyDescent="0.35">
      <c r="D54">
        <v>5</v>
      </c>
      <c r="F54" s="2">
        <v>1.0013888888888889</v>
      </c>
      <c r="G54" t="s">
        <v>23</v>
      </c>
      <c r="I54">
        <v>4</v>
      </c>
      <c r="T54">
        <v>4</v>
      </c>
      <c r="U54">
        <v>1</v>
      </c>
      <c r="V54" s="1" t="s">
        <v>2450</v>
      </c>
      <c r="BL54" s="45"/>
      <c r="BM54" s="45"/>
      <c r="BN54" s="46"/>
      <c r="BO54" s="46"/>
      <c r="BP54" s="48" t="s">
        <v>1292</v>
      </c>
      <c r="BQ54" s="48">
        <v>1.75</v>
      </c>
      <c r="BR54" s="50"/>
      <c r="BS54" s="50"/>
      <c r="CE54" t="s">
        <v>684</v>
      </c>
      <c r="CF54" t="s">
        <v>1219</v>
      </c>
      <c r="CG54" t="s">
        <v>895</v>
      </c>
    </row>
    <row r="55" spans="4:85" x14ac:dyDescent="0.35">
      <c r="D55">
        <v>5</v>
      </c>
      <c r="F55" s="2">
        <v>1.0017361111111112</v>
      </c>
      <c r="G55" t="s">
        <v>1320</v>
      </c>
      <c r="I55">
        <v>4</v>
      </c>
      <c r="J55">
        <v>1</v>
      </c>
      <c r="T55">
        <v>5</v>
      </c>
      <c r="U55">
        <v>2</v>
      </c>
      <c r="V55" s="1" t="s">
        <v>71</v>
      </c>
      <c r="BL55" s="45"/>
      <c r="BM55" s="45"/>
      <c r="BN55" s="46"/>
      <c r="BO55" s="46"/>
      <c r="BP55" s="48" t="s">
        <v>1293</v>
      </c>
      <c r="BQ55" s="48">
        <v>1.7</v>
      </c>
      <c r="BR55" s="50"/>
      <c r="BS55" s="50"/>
      <c r="CE55" t="s">
        <v>685</v>
      </c>
      <c r="CF55" t="s">
        <v>1220</v>
      </c>
      <c r="CG55" t="s">
        <v>896</v>
      </c>
    </row>
    <row r="56" spans="4:85" x14ac:dyDescent="0.35">
      <c r="D56">
        <v>5</v>
      </c>
      <c r="F56" s="2">
        <v>1.0017361111111112</v>
      </c>
      <c r="G56" t="s">
        <v>24</v>
      </c>
      <c r="I56">
        <v>3</v>
      </c>
      <c r="J56">
        <v>2</v>
      </c>
      <c r="Q56">
        <v>3</v>
      </c>
      <c r="T56">
        <v>8</v>
      </c>
      <c r="U56">
        <v>3</v>
      </c>
      <c r="V56" s="1" t="s">
        <v>72</v>
      </c>
      <c r="BL56" s="45"/>
      <c r="BM56" s="45"/>
      <c r="BN56" s="46"/>
      <c r="BO56" s="46"/>
      <c r="BP56" s="48" t="s">
        <v>1294</v>
      </c>
      <c r="BQ56" s="48">
        <v>1.45</v>
      </c>
      <c r="BR56" s="50"/>
      <c r="BS56" s="50"/>
      <c r="CE56" t="s">
        <v>686</v>
      </c>
      <c r="CF56" t="s">
        <v>1221</v>
      </c>
      <c r="CG56" t="s">
        <v>897</v>
      </c>
    </row>
    <row r="57" spans="4:85" x14ac:dyDescent="0.35">
      <c r="D57">
        <v>5</v>
      </c>
      <c r="F57" s="2">
        <v>1.0020833333333334</v>
      </c>
      <c r="G57" t="s">
        <v>1321</v>
      </c>
      <c r="I57">
        <v>4</v>
      </c>
      <c r="J57">
        <v>3</v>
      </c>
      <c r="T57">
        <v>7</v>
      </c>
      <c r="U57">
        <v>12</v>
      </c>
      <c r="V57" s="1" t="s">
        <v>73</v>
      </c>
      <c r="BL57" s="45"/>
      <c r="BM57" s="45"/>
      <c r="BN57" s="46"/>
      <c r="BO57" s="46"/>
      <c r="BP57" s="48" t="s">
        <v>1300</v>
      </c>
      <c r="BQ57" s="48">
        <v>1.95</v>
      </c>
      <c r="BR57" s="50"/>
      <c r="BS57" s="50"/>
      <c r="CE57" t="s">
        <v>687</v>
      </c>
      <c r="CF57" t="s">
        <v>839</v>
      </c>
      <c r="CG57" t="s">
        <v>898</v>
      </c>
    </row>
    <row r="58" spans="4:85" x14ac:dyDescent="0.35">
      <c r="D58">
        <v>5</v>
      </c>
      <c r="F58" s="2">
        <v>1.0020833333333334</v>
      </c>
      <c r="G58" t="s">
        <v>1322</v>
      </c>
      <c r="J58">
        <v>3</v>
      </c>
      <c r="N58">
        <v>1</v>
      </c>
      <c r="O58">
        <v>1</v>
      </c>
      <c r="P58">
        <v>2</v>
      </c>
      <c r="R58">
        <v>1</v>
      </c>
      <c r="T58">
        <v>8</v>
      </c>
      <c r="U58">
        <v>4</v>
      </c>
      <c r="V58" s="1" t="s">
        <v>73</v>
      </c>
      <c r="BL58" s="45"/>
      <c r="BM58" s="45"/>
      <c r="BN58" s="46"/>
      <c r="BO58" s="46"/>
      <c r="BP58" s="48" t="s">
        <v>1382</v>
      </c>
      <c r="BQ58" s="48">
        <v>1.35</v>
      </c>
      <c r="BR58" s="50"/>
      <c r="BS58" s="50"/>
      <c r="CE58" t="s">
        <v>688</v>
      </c>
      <c r="CF58" t="s">
        <v>1090</v>
      </c>
      <c r="CG58" t="s">
        <v>899</v>
      </c>
    </row>
    <row r="59" spans="4:85" x14ac:dyDescent="0.35">
      <c r="D59">
        <v>5</v>
      </c>
      <c r="F59" s="2">
        <v>1.0013888888888889</v>
      </c>
      <c r="G59" t="s">
        <v>1340</v>
      </c>
      <c r="I59">
        <v>5</v>
      </c>
      <c r="T59">
        <v>5</v>
      </c>
      <c r="U59">
        <v>1</v>
      </c>
      <c r="V59" s="1" t="s">
        <v>70</v>
      </c>
      <c r="BL59" s="45"/>
      <c r="BM59" s="45"/>
      <c r="BN59" s="46"/>
      <c r="BO59" s="46"/>
      <c r="BP59" s="48" t="s">
        <v>1383</v>
      </c>
      <c r="BQ59" s="48">
        <v>1.8</v>
      </c>
      <c r="BR59" s="50"/>
      <c r="BS59" s="50"/>
      <c r="CE59" t="s">
        <v>689</v>
      </c>
      <c r="CF59" t="s">
        <v>1091</v>
      </c>
      <c r="CG59" t="s">
        <v>900</v>
      </c>
    </row>
    <row r="60" spans="4:85" x14ac:dyDescent="0.35">
      <c r="D60">
        <v>5</v>
      </c>
      <c r="F60" s="2">
        <v>1.0013888888888889</v>
      </c>
      <c r="G60" t="s">
        <v>1341</v>
      </c>
      <c r="I60">
        <v>5</v>
      </c>
      <c r="T60">
        <v>5</v>
      </c>
      <c r="U60">
        <v>1</v>
      </c>
      <c r="V60" s="1" t="s">
        <v>2450</v>
      </c>
      <c r="BL60" s="45"/>
      <c r="BM60" s="45"/>
      <c r="BN60" s="46"/>
      <c r="BO60" s="46"/>
      <c r="BP60" s="48" t="s">
        <v>1389</v>
      </c>
      <c r="BQ60" s="48">
        <v>1.7</v>
      </c>
      <c r="BR60" s="50"/>
      <c r="BS60" s="50"/>
      <c r="CE60" t="s">
        <v>690</v>
      </c>
      <c r="CF60" t="s">
        <v>1092</v>
      </c>
      <c r="CG60" t="s">
        <v>901</v>
      </c>
    </row>
    <row r="61" spans="4:85" x14ac:dyDescent="0.35">
      <c r="F61" s="2">
        <v>1.0017361111111112</v>
      </c>
      <c r="G61" t="s">
        <v>1342</v>
      </c>
      <c r="I61">
        <v>5</v>
      </c>
      <c r="J61">
        <v>1</v>
      </c>
      <c r="T61">
        <v>6</v>
      </c>
      <c r="U61">
        <v>2</v>
      </c>
      <c r="V61" s="1" t="s">
        <v>71</v>
      </c>
      <c r="BL61" s="45"/>
      <c r="BM61" s="45"/>
      <c r="BN61" s="46"/>
      <c r="BO61" s="46"/>
      <c r="BP61" s="48" t="s">
        <v>1392</v>
      </c>
      <c r="BQ61" s="48">
        <v>2</v>
      </c>
      <c r="BR61" s="50"/>
      <c r="BS61" s="50"/>
      <c r="CE61" t="s">
        <v>691</v>
      </c>
      <c r="CF61" t="s">
        <v>1222</v>
      </c>
      <c r="CG61" t="s">
        <v>902</v>
      </c>
    </row>
    <row r="62" spans="4:85" x14ac:dyDescent="0.35">
      <c r="F62" s="2">
        <v>1.0017361111111112</v>
      </c>
      <c r="G62" t="s">
        <v>1343</v>
      </c>
      <c r="I62">
        <v>3</v>
      </c>
      <c r="J62">
        <v>2</v>
      </c>
      <c r="Q62">
        <v>3</v>
      </c>
      <c r="T62">
        <v>8</v>
      </c>
      <c r="U62">
        <v>3</v>
      </c>
      <c r="V62" s="1" t="s">
        <v>72</v>
      </c>
      <c r="BL62" s="45"/>
      <c r="BM62" s="45"/>
      <c r="BN62" s="46"/>
      <c r="BO62" s="46"/>
      <c r="BP62" s="48" t="s">
        <v>1395</v>
      </c>
      <c r="BQ62" s="48">
        <v>2.0499999999999998</v>
      </c>
      <c r="BR62" s="50"/>
      <c r="BS62" s="50"/>
      <c r="CE62" t="s">
        <v>692</v>
      </c>
      <c r="CF62" t="s">
        <v>1093</v>
      </c>
      <c r="CG62" t="s">
        <v>903</v>
      </c>
    </row>
    <row r="63" spans="4:85" x14ac:dyDescent="0.35">
      <c r="D63">
        <v>6</v>
      </c>
      <c r="E63" t="s">
        <v>18</v>
      </c>
      <c r="F63" s="2">
        <v>1.0020833333333334</v>
      </c>
      <c r="G63" t="s">
        <v>1344</v>
      </c>
      <c r="I63">
        <v>5</v>
      </c>
      <c r="J63">
        <v>3</v>
      </c>
      <c r="T63">
        <v>8</v>
      </c>
      <c r="U63">
        <v>12</v>
      </c>
      <c r="V63" s="1" t="s">
        <v>73</v>
      </c>
      <c r="BL63" s="45"/>
      <c r="BM63" s="45"/>
      <c r="BN63" s="46"/>
      <c r="BO63" s="46"/>
      <c r="BP63" s="48" t="s">
        <v>1399</v>
      </c>
      <c r="BQ63" s="48">
        <v>2.2999999999999998</v>
      </c>
      <c r="BR63" s="50"/>
      <c r="BS63" s="50"/>
      <c r="CE63" t="s">
        <v>693</v>
      </c>
      <c r="CF63" t="s">
        <v>1094</v>
      </c>
      <c r="CG63" t="s">
        <v>904</v>
      </c>
    </row>
    <row r="64" spans="4:85" x14ac:dyDescent="0.35">
      <c r="D64">
        <v>6</v>
      </c>
      <c r="E64" t="s">
        <v>17</v>
      </c>
      <c r="F64" s="2">
        <v>1.0020833333333334</v>
      </c>
      <c r="G64" t="s">
        <v>1345</v>
      </c>
      <c r="J64">
        <v>4</v>
      </c>
      <c r="N64">
        <v>1</v>
      </c>
      <c r="O64">
        <v>1</v>
      </c>
      <c r="P64">
        <v>2</v>
      </c>
      <c r="R64">
        <v>1</v>
      </c>
      <c r="T64">
        <v>9</v>
      </c>
      <c r="U64">
        <v>4</v>
      </c>
      <c r="V64" s="1" t="s">
        <v>73</v>
      </c>
      <c r="BL64" s="45"/>
      <c r="BM64" s="45"/>
      <c r="BN64" s="46"/>
      <c r="BO64" s="46"/>
      <c r="BP64" s="48" t="s">
        <v>1400</v>
      </c>
      <c r="BQ64" s="48">
        <v>2.5499999999999998</v>
      </c>
      <c r="BR64" s="50"/>
      <c r="BS64" s="50"/>
      <c r="CE64" t="s">
        <v>694</v>
      </c>
      <c r="CF64" t="s">
        <v>1223</v>
      </c>
      <c r="CG64" t="s">
        <v>905</v>
      </c>
    </row>
    <row r="65" spans="4:85" x14ac:dyDescent="0.35">
      <c r="D65">
        <v>6</v>
      </c>
      <c r="E65" t="s">
        <v>1618</v>
      </c>
      <c r="F65" s="2">
        <v>1.0013888888888889</v>
      </c>
      <c r="G65" t="s">
        <v>1346</v>
      </c>
      <c r="H65">
        <v>5</v>
      </c>
      <c r="I65">
        <v>1</v>
      </c>
      <c r="T65">
        <v>6</v>
      </c>
      <c r="U65">
        <v>6</v>
      </c>
      <c r="V65" s="1" t="s">
        <v>70</v>
      </c>
      <c r="BL65" s="45"/>
      <c r="BM65" s="45"/>
      <c r="BN65" s="46"/>
      <c r="BO65" s="46"/>
      <c r="BP65" s="48"/>
      <c r="BQ65" s="48"/>
      <c r="BR65" s="50"/>
      <c r="BS65" s="50"/>
      <c r="CE65" t="s">
        <v>695</v>
      </c>
      <c r="CF65" t="s">
        <v>1224</v>
      </c>
      <c r="CG65" t="s">
        <v>906</v>
      </c>
    </row>
    <row r="66" spans="4:85" x14ac:dyDescent="0.35">
      <c r="F66" s="2">
        <v>1.0015624999999999</v>
      </c>
      <c r="G66" t="s">
        <v>1347</v>
      </c>
      <c r="I66">
        <v>6</v>
      </c>
      <c r="T66">
        <v>6</v>
      </c>
      <c r="U66">
        <v>1</v>
      </c>
      <c r="V66" s="1" t="s">
        <v>70</v>
      </c>
      <c r="BL66" s="45"/>
      <c r="BM66" s="45"/>
      <c r="BN66" s="46"/>
      <c r="BO66" s="46"/>
      <c r="BP66" s="48"/>
      <c r="BQ66" s="48"/>
      <c r="BR66" s="50"/>
      <c r="BS66" s="50"/>
      <c r="CE66" t="s">
        <v>696</v>
      </c>
      <c r="CF66" t="s">
        <v>1095</v>
      </c>
      <c r="CG66" t="s">
        <v>907</v>
      </c>
    </row>
    <row r="67" spans="4:85" x14ac:dyDescent="0.35">
      <c r="F67" s="2">
        <v>1.0013888888888889</v>
      </c>
      <c r="G67" t="s">
        <v>1348</v>
      </c>
      <c r="H67">
        <v>5</v>
      </c>
      <c r="I67">
        <v>1</v>
      </c>
      <c r="T67">
        <v>6</v>
      </c>
      <c r="U67">
        <v>6</v>
      </c>
      <c r="V67" s="1" t="s">
        <v>2450</v>
      </c>
      <c r="BK67" s="8">
        <v>3</v>
      </c>
      <c r="BL67" s="45" t="s">
        <v>219</v>
      </c>
      <c r="BM67" s="45">
        <v>0.05</v>
      </c>
      <c r="BN67" s="46"/>
      <c r="BO67" s="46"/>
      <c r="BP67" s="48" t="s">
        <v>215</v>
      </c>
      <c r="BQ67" s="48">
        <v>0.05</v>
      </c>
      <c r="BR67" s="50"/>
      <c r="BS67" s="50"/>
      <c r="CE67" t="s">
        <v>697</v>
      </c>
      <c r="CF67" t="s">
        <v>1096</v>
      </c>
      <c r="CG67" t="s">
        <v>908</v>
      </c>
    </row>
    <row r="68" spans="4:85" x14ac:dyDescent="0.35">
      <c r="F68" s="2">
        <v>1.0015624999999999</v>
      </c>
      <c r="G68" t="s">
        <v>1349</v>
      </c>
      <c r="I68">
        <v>6</v>
      </c>
      <c r="T68">
        <v>6</v>
      </c>
      <c r="U68">
        <v>1</v>
      </c>
      <c r="V68" s="1" t="s">
        <v>2450</v>
      </c>
      <c r="BL68" s="45" t="s">
        <v>215</v>
      </c>
      <c r="BM68" s="45">
        <v>0.05</v>
      </c>
      <c r="BN68" s="46"/>
      <c r="BO68" s="46"/>
      <c r="BP68" s="48" t="s">
        <v>216</v>
      </c>
      <c r="BQ68" s="48">
        <v>0.1</v>
      </c>
      <c r="BR68" s="50"/>
      <c r="BS68" s="50"/>
      <c r="CE68" t="s">
        <v>698</v>
      </c>
      <c r="CF68" t="s">
        <v>1097</v>
      </c>
      <c r="CG68" t="s">
        <v>909</v>
      </c>
    </row>
    <row r="69" spans="4:85" x14ac:dyDescent="0.35">
      <c r="F69" s="2">
        <v>1.0016203703703703</v>
      </c>
      <c r="G69" t="s">
        <v>1350</v>
      </c>
      <c r="H69">
        <v>5</v>
      </c>
      <c r="I69">
        <v>1</v>
      </c>
      <c r="J69">
        <v>1</v>
      </c>
      <c r="T69">
        <v>7</v>
      </c>
      <c r="U69">
        <v>7</v>
      </c>
      <c r="V69" s="1" t="s">
        <v>71</v>
      </c>
      <c r="BL69" s="45" t="s">
        <v>216</v>
      </c>
      <c r="BM69" s="45">
        <v>0.1</v>
      </c>
      <c r="BN69" s="46"/>
      <c r="BO69" s="46"/>
      <c r="BP69" s="48" t="s">
        <v>217</v>
      </c>
      <c r="BQ69" s="48">
        <v>0.15</v>
      </c>
      <c r="BR69" s="50"/>
      <c r="BS69" s="50"/>
      <c r="CE69" t="s">
        <v>699</v>
      </c>
      <c r="CF69" t="s">
        <v>1098</v>
      </c>
      <c r="CG69" t="s">
        <v>910</v>
      </c>
    </row>
    <row r="70" spans="4:85" x14ac:dyDescent="0.35">
      <c r="F70" s="2">
        <v>1.0019097222222222</v>
      </c>
      <c r="G70" t="s">
        <v>1351</v>
      </c>
      <c r="I70">
        <v>6</v>
      </c>
      <c r="J70">
        <v>2</v>
      </c>
      <c r="T70">
        <v>8</v>
      </c>
      <c r="U70">
        <v>2</v>
      </c>
      <c r="V70" s="1" t="s">
        <v>71</v>
      </c>
      <c r="BL70" s="45" t="s">
        <v>217</v>
      </c>
      <c r="BM70" s="45">
        <v>0.15</v>
      </c>
      <c r="BN70" s="46"/>
      <c r="BO70" s="46"/>
      <c r="BP70" s="48" t="s">
        <v>218</v>
      </c>
      <c r="BQ70" s="48">
        <v>0.2</v>
      </c>
      <c r="BR70" s="50"/>
      <c r="BS70" s="50"/>
      <c r="CE70" t="s">
        <v>700</v>
      </c>
      <c r="CF70" t="s">
        <v>1226</v>
      </c>
      <c r="CG70" t="s">
        <v>911</v>
      </c>
    </row>
    <row r="71" spans="4:85" x14ac:dyDescent="0.35">
      <c r="F71" s="2">
        <v>1.0016203703703703</v>
      </c>
      <c r="G71" t="s">
        <v>1352</v>
      </c>
      <c r="H71">
        <v>3</v>
      </c>
      <c r="I71">
        <v>1</v>
      </c>
      <c r="J71">
        <v>2</v>
      </c>
      <c r="L71">
        <v>1</v>
      </c>
      <c r="Q71">
        <v>3</v>
      </c>
      <c r="T71">
        <v>10</v>
      </c>
      <c r="U71">
        <v>8</v>
      </c>
      <c r="V71" s="1" t="s">
        <v>72</v>
      </c>
      <c r="BL71" s="45" t="s">
        <v>218</v>
      </c>
      <c r="BM71" s="45">
        <v>0.2</v>
      </c>
      <c r="BN71" s="46"/>
      <c r="BO71" s="46"/>
      <c r="BP71" s="48" t="s">
        <v>219</v>
      </c>
      <c r="BQ71" s="48">
        <v>0.05</v>
      </c>
      <c r="BR71" s="50"/>
      <c r="BS71" s="50"/>
      <c r="CE71" t="s">
        <v>701</v>
      </c>
      <c r="CF71" t="s">
        <v>1225</v>
      </c>
      <c r="CG71" t="s">
        <v>912</v>
      </c>
    </row>
    <row r="72" spans="4:85" x14ac:dyDescent="0.35">
      <c r="F72" s="2">
        <v>1.0019097222222222</v>
      </c>
      <c r="G72" t="s">
        <v>1353</v>
      </c>
      <c r="I72">
        <v>4</v>
      </c>
      <c r="J72">
        <v>3</v>
      </c>
      <c r="Q72">
        <v>4</v>
      </c>
      <c r="T72">
        <v>11</v>
      </c>
      <c r="U72">
        <v>3</v>
      </c>
      <c r="V72" s="1" t="s">
        <v>72</v>
      </c>
      <c r="BL72" s="45" t="s">
        <v>220</v>
      </c>
      <c r="BM72" s="45">
        <v>0.2</v>
      </c>
      <c r="BN72" s="46"/>
      <c r="BO72" s="46"/>
      <c r="BP72" s="48" t="s">
        <v>220</v>
      </c>
      <c r="BQ72" s="48">
        <v>0.2</v>
      </c>
      <c r="BR72" s="50"/>
      <c r="BS72" s="50"/>
      <c r="CE72" t="s">
        <v>702</v>
      </c>
      <c r="CF72" t="s">
        <v>1099</v>
      </c>
      <c r="CG72" t="s">
        <v>913</v>
      </c>
    </row>
    <row r="73" spans="4:85" x14ac:dyDescent="0.35">
      <c r="D73">
        <v>7</v>
      </c>
      <c r="E73" t="s">
        <v>18</v>
      </c>
      <c r="F73" s="2">
        <v>1.0019675925925926</v>
      </c>
      <c r="G73" t="s">
        <v>1354</v>
      </c>
      <c r="H73">
        <v>5</v>
      </c>
      <c r="I73">
        <v>1</v>
      </c>
      <c r="J73">
        <v>1</v>
      </c>
      <c r="S73">
        <v>1</v>
      </c>
      <c r="T73">
        <v>8</v>
      </c>
      <c r="U73">
        <v>11</v>
      </c>
      <c r="V73" s="1" t="s">
        <v>73</v>
      </c>
      <c r="BL73" s="45"/>
      <c r="BM73" s="45"/>
      <c r="BN73" s="46"/>
      <c r="BO73" s="46"/>
      <c r="BP73" s="48"/>
      <c r="BQ73" s="48"/>
      <c r="BR73" s="50"/>
      <c r="BS73" s="50"/>
      <c r="CE73" t="s">
        <v>703</v>
      </c>
      <c r="CF73" t="s">
        <v>1100</v>
      </c>
      <c r="CG73" t="s">
        <v>914</v>
      </c>
    </row>
    <row r="74" spans="4:85" x14ac:dyDescent="0.35">
      <c r="D74">
        <v>7</v>
      </c>
      <c r="E74" t="s">
        <v>17</v>
      </c>
      <c r="F74" s="2">
        <v>1.0024305555555555</v>
      </c>
      <c r="G74" t="s">
        <v>1355</v>
      </c>
      <c r="I74">
        <v>6</v>
      </c>
      <c r="J74">
        <v>3</v>
      </c>
      <c r="T74">
        <v>9</v>
      </c>
      <c r="U74">
        <v>12</v>
      </c>
      <c r="V74" s="1" t="s">
        <v>73</v>
      </c>
      <c r="BL74" s="45"/>
      <c r="BM74" s="45"/>
      <c r="BN74" s="46"/>
      <c r="BO74" s="46"/>
      <c r="BP74" s="48"/>
      <c r="BQ74" s="48"/>
      <c r="BR74" s="50"/>
      <c r="BS74" s="50"/>
      <c r="CE74" t="s">
        <v>704</v>
      </c>
      <c r="CF74" t="s">
        <v>1101</v>
      </c>
      <c r="CG74" t="s">
        <v>915</v>
      </c>
    </row>
    <row r="75" spans="4:85" x14ac:dyDescent="0.35">
      <c r="D75">
        <v>7</v>
      </c>
      <c r="E75" t="s">
        <v>1619</v>
      </c>
      <c r="F75" s="2">
        <v>1.0020833333333334</v>
      </c>
      <c r="G75" t="s">
        <v>1360</v>
      </c>
      <c r="J75">
        <v>4</v>
      </c>
      <c r="N75">
        <v>1</v>
      </c>
      <c r="O75">
        <v>1</v>
      </c>
      <c r="P75">
        <v>2</v>
      </c>
      <c r="R75">
        <v>1</v>
      </c>
      <c r="T75">
        <v>9</v>
      </c>
      <c r="U75">
        <v>4</v>
      </c>
      <c r="V75" s="1" t="s">
        <v>73</v>
      </c>
      <c r="BL75" s="45"/>
      <c r="BM75" s="45"/>
      <c r="BN75" s="46"/>
      <c r="BO75" s="46"/>
      <c r="BP75" s="48"/>
      <c r="BQ75" s="48"/>
      <c r="BR75" s="50"/>
      <c r="BS75" s="50"/>
      <c r="CE75" t="s">
        <v>705</v>
      </c>
      <c r="CF75" t="s">
        <v>1102</v>
      </c>
      <c r="CG75" t="s">
        <v>916</v>
      </c>
    </row>
    <row r="76" spans="4:85" x14ac:dyDescent="0.35">
      <c r="D76">
        <v>7</v>
      </c>
      <c r="E76" t="s">
        <v>1618</v>
      </c>
      <c r="F76" s="2">
        <v>1.0020833333333334</v>
      </c>
      <c r="G76" t="s">
        <v>1356</v>
      </c>
      <c r="J76">
        <v>7</v>
      </c>
      <c r="T76">
        <v>7</v>
      </c>
      <c r="U76">
        <v>10</v>
      </c>
      <c r="V76" s="1" t="s">
        <v>73</v>
      </c>
      <c r="BL76" s="45"/>
      <c r="BM76" s="45"/>
      <c r="BN76" s="46"/>
      <c r="BO76" s="46"/>
      <c r="BP76" s="48"/>
      <c r="BQ76" s="48"/>
      <c r="BR76" s="50"/>
      <c r="BS76" s="50"/>
      <c r="CE76" t="s">
        <v>706</v>
      </c>
      <c r="CF76" t="s">
        <v>1103</v>
      </c>
      <c r="CG76" t="s">
        <v>917</v>
      </c>
    </row>
    <row r="77" spans="4:85" x14ac:dyDescent="0.35">
      <c r="F77" s="2">
        <v>1.0013888888888889</v>
      </c>
      <c r="G77" t="s">
        <v>1323</v>
      </c>
      <c r="H77">
        <v>5</v>
      </c>
      <c r="I77">
        <v>1</v>
      </c>
      <c r="T77">
        <v>6</v>
      </c>
      <c r="U77">
        <v>6</v>
      </c>
      <c r="V77" s="1" t="s">
        <v>70</v>
      </c>
      <c r="BK77" s="8">
        <v>4</v>
      </c>
      <c r="BL77" s="45" t="s">
        <v>404</v>
      </c>
      <c r="BM77" s="45">
        <v>0.05</v>
      </c>
      <c r="BN77" s="46" t="s">
        <v>272</v>
      </c>
      <c r="BO77" s="46">
        <v>1.1000000000000001</v>
      </c>
      <c r="BP77" s="48" t="s">
        <v>270</v>
      </c>
      <c r="BQ77" s="48">
        <v>0.05</v>
      </c>
      <c r="BR77" s="50" t="s">
        <v>221</v>
      </c>
      <c r="BS77" s="50">
        <v>0.05</v>
      </c>
      <c r="BU77" s="48" t="s">
        <v>405</v>
      </c>
      <c r="BV77" s="48">
        <v>0.05</v>
      </c>
      <c r="BX77" s="107">
        <f t="shared" ref="BX77:BX123" si="2">LEN(BN77)</f>
        <v>3</v>
      </c>
      <c r="BY77" s="46" t="str">
        <f t="shared" ref="BY77:BY123" si="3">CONCATENATE(BX77,BN77)</f>
        <v>3PPx</v>
      </c>
      <c r="BZ77" s="46">
        <v>1.1000000000000001</v>
      </c>
      <c r="CE77" t="s">
        <v>707</v>
      </c>
      <c r="CF77" t="s">
        <v>1104</v>
      </c>
      <c r="CG77" t="s">
        <v>918</v>
      </c>
    </row>
    <row r="78" spans="4:85" x14ac:dyDescent="0.35">
      <c r="F78" s="2">
        <v>1.0015624999999999</v>
      </c>
      <c r="G78" t="s">
        <v>1324</v>
      </c>
      <c r="I78">
        <v>6</v>
      </c>
      <c r="T78">
        <v>6</v>
      </c>
      <c r="U78">
        <v>1</v>
      </c>
      <c r="V78" s="1" t="s">
        <v>70</v>
      </c>
      <c r="BL78" s="45" t="s">
        <v>406</v>
      </c>
      <c r="BM78" s="45">
        <v>0.1</v>
      </c>
      <c r="BN78" s="46" t="s">
        <v>128</v>
      </c>
      <c r="BO78" s="46">
        <v>1</v>
      </c>
      <c r="BP78" s="48" t="s">
        <v>271</v>
      </c>
      <c r="BQ78" s="48">
        <v>0.1</v>
      </c>
      <c r="BR78" s="50" t="s">
        <v>222</v>
      </c>
      <c r="BS78" s="50">
        <v>0.1</v>
      </c>
      <c r="BU78" s="48" t="s">
        <v>407</v>
      </c>
      <c r="BV78" s="48">
        <v>0.1</v>
      </c>
      <c r="BX78" s="107">
        <f t="shared" si="2"/>
        <v>2</v>
      </c>
      <c r="BY78" s="46" t="str">
        <f t="shared" si="3"/>
        <v>2PP</v>
      </c>
      <c r="BZ78" s="46">
        <v>1</v>
      </c>
      <c r="CE78" t="s">
        <v>708</v>
      </c>
      <c r="CF78" t="s">
        <v>1105</v>
      </c>
      <c r="CG78" t="s">
        <v>919</v>
      </c>
    </row>
    <row r="79" spans="4:85" x14ac:dyDescent="0.35">
      <c r="F79" s="2">
        <v>1.0013888888888889</v>
      </c>
      <c r="G79" t="s">
        <v>25</v>
      </c>
      <c r="H79">
        <v>5</v>
      </c>
      <c r="I79">
        <v>1</v>
      </c>
      <c r="T79">
        <v>6</v>
      </c>
      <c r="U79">
        <v>6</v>
      </c>
      <c r="V79" s="1" t="s">
        <v>2450</v>
      </c>
      <c r="BL79" s="45" t="s">
        <v>408</v>
      </c>
      <c r="BM79" s="45">
        <v>0.15</v>
      </c>
      <c r="BN79" s="46" t="s">
        <v>273</v>
      </c>
      <c r="BO79" s="46">
        <v>1.05</v>
      </c>
      <c r="BP79" s="48" t="s">
        <v>404</v>
      </c>
      <c r="BQ79" s="48">
        <v>0.05</v>
      </c>
      <c r="BR79" s="50" t="s">
        <v>223</v>
      </c>
      <c r="BS79" s="50">
        <v>0.1</v>
      </c>
      <c r="BU79" s="48" t="s">
        <v>409</v>
      </c>
      <c r="BV79" s="48">
        <v>0.15</v>
      </c>
      <c r="BX79" s="107">
        <f t="shared" si="2"/>
        <v>3</v>
      </c>
      <c r="BY79" s="46" t="str">
        <f t="shared" si="3"/>
        <v>3FPx</v>
      </c>
      <c r="BZ79" s="46">
        <v>1.05</v>
      </c>
      <c r="CE79" t="s">
        <v>709</v>
      </c>
      <c r="CF79" t="s">
        <v>1106</v>
      </c>
      <c r="CG79" t="s">
        <v>920</v>
      </c>
    </row>
    <row r="80" spans="4:85" x14ac:dyDescent="0.35">
      <c r="F80" s="2">
        <v>1.0015624999999999</v>
      </c>
      <c r="G80" t="s">
        <v>26</v>
      </c>
      <c r="I80">
        <v>6</v>
      </c>
      <c r="T80">
        <v>6</v>
      </c>
      <c r="U80">
        <v>1</v>
      </c>
      <c r="V80" s="1" t="s">
        <v>2450</v>
      </c>
      <c r="BL80" s="45" t="s">
        <v>410</v>
      </c>
      <c r="BM80" s="45">
        <v>0.15</v>
      </c>
      <c r="BN80" s="46" t="s">
        <v>274</v>
      </c>
      <c r="BO80" s="46">
        <v>0.95</v>
      </c>
      <c r="BP80" s="48" t="s">
        <v>406</v>
      </c>
      <c r="BQ80" s="48">
        <v>0.1</v>
      </c>
      <c r="BR80" s="50" t="s">
        <v>224</v>
      </c>
      <c r="BS80" s="50">
        <v>0.1</v>
      </c>
      <c r="BU80" s="48" t="s">
        <v>411</v>
      </c>
      <c r="BV80" s="48">
        <v>0.1</v>
      </c>
      <c r="BX80" s="107">
        <f t="shared" si="2"/>
        <v>2</v>
      </c>
      <c r="BY80" s="46" t="str">
        <f t="shared" si="3"/>
        <v>2FP</v>
      </c>
      <c r="BZ80" s="46">
        <v>0.95</v>
      </c>
      <c r="CE80" t="s">
        <v>710</v>
      </c>
      <c r="CF80" t="s">
        <v>1107</v>
      </c>
      <c r="CG80" t="s">
        <v>921</v>
      </c>
    </row>
    <row r="81" spans="4:85" x14ac:dyDescent="0.35">
      <c r="F81" s="2">
        <v>1.0016203703703703</v>
      </c>
      <c r="G81" t="s">
        <v>1325</v>
      </c>
      <c r="H81">
        <v>5</v>
      </c>
      <c r="I81">
        <v>1</v>
      </c>
      <c r="J81">
        <v>1</v>
      </c>
      <c r="T81">
        <v>7</v>
      </c>
      <c r="U81">
        <v>7</v>
      </c>
      <c r="V81" s="1" t="s">
        <v>71</v>
      </c>
      <c r="BL81" s="45" t="s">
        <v>412</v>
      </c>
      <c r="BM81" s="45">
        <v>0.2</v>
      </c>
      <c r="BN81" s="46" t="s">
        <v>275</v>
      </c>
      <c r="BO81" s="46">
        <v>0.7</v>
      </c>
      <c r="BP81" s="48" t="s">
        <v>408</v>
      </c>
      <c r="BQ81" s="48">
        <v>0.15</v>
      </c>
      <c r="BR81" s="50" t="s">
        <v>225</v>
      </c>
      <c r="BS81" s="50">
        <v>0.3</v>
      </c>
      <c r="BU81" s="48" t="s">
        <v>413</v>
      </c>
      <c r="BV81" s="48">
        <v>0.2</v>
      </c>
      <c r="BX81" s="107">
        <f t="shared" si="2"/>
        <v>2</v>
      </c>
      <c r="BY81" s="46" t="str">
        <f t="shared" si="3"/>
        <v>2FF</v>
      </c>
      <c r="BZ81" s="46">
        <v>0.7</v>
      </c>
      <c r="CE81" t="s">
        <v>711</v>
      </c>
      <c r="CF81" t="s">
        <v>1227</v>
      </c>
      <c r="CG81" t="s">
        <v>922</v>
      </c>
    </row>
    <row r="82" spans="4:85" x14ac:dyDescent="0.35">
      <c r="F82" s="2">
        <v>1.0019097222222222</v>
      </c>
      <c r="G82" t="s">
        <v>1326</v>
      </c>
      <c r="I82">
        <v>6</v>
      </c>
      <c r="J82">
        <v>2</v>
      </c>
      <c r="T82">
        <v>8</v>
      </c>
      <c r="U82">
        <v>2</v>
      </c>
      <c r="V82" s="1" t="s">
        <v>71</v>
      </c>
      <c r="BL82" s="45" t="s">
        <v>414</v>
      </c>
      <c r="BM82" s="45">
        <v>0.05</v>
      </c>
      <c r="BN82" s="46" t="s">
        <v>129</v>
      </c>
      <c r="BO82" s="46">
        <v>0.45</v>
      </c>
      <c r="BP82" s="48" t="s">
        <v>410</v>
      </c>
      <c r="BQ82" s="48">
        <v>0.15</v>
      </c>
      <c r="BR82" s="50" t="s">
        <v>226</v>
      </c>
      <c r="BS82" s="50">
        <v>0.1</v>
      </c>
      <c r="BU82" s="48" t="s">
        <v>415</v>
      </c>
      <c r="BV82" s="48">
        <v>0.05</v>
      </c>
      <c r="BX82" s="107">
        <f t="shared" si="2"/>
        <v>2</v>
      </c>
      <c r="BY82" s="46" t="str">
        <f t="shared" si="3"/>
        <v>2PF</v>
      </c>
      <c r="BZ82" s="46">
        <v>0.45</v>
      </c>
      <c r="CE82" t="s">
        <v>712</v>
      </c>
      <c r="CF82" t="s">
        <v>1108</v>
      </c>
      <c r="CG82" t="s">
        <v>923</v>
      </c>
    </row>
    <row r="83" spans="4:85" x14ac:dyDescent="0.35">
      <c r="D83">
        <v>8</v>
      </c>
      <c r="E83" t="s">
        <v>18</v>
      </c>
      <c r="F83" s="2">
        <v>1.0016203703703703</v>
      </c>
      <c r="G83" t="s">
        <v>27</v>
      </c>
      <c r="H83">
        <v>3</v>
      </c>
      <c r="I83">
        <v>1</v>
      </c>
      <c r="J83">
        <v>2</v>
      </c>
      <c r="L83">
        <v>1</v>
      </c>
      <c r="Q83">
        <v>3</v>
      </c>
      <c r="T83">
        <v>10</v>
      </c>
      <c r="U83">
        <v>8</v>
      </c>
      <c r="V83" s="1" t="s">
        <v>72</v>
      </c>
      <c r="BL83" s="45" t="s">
        <v>1301</v>
      </c>
      <c r="BM83" s="45">
        <v>0.1</v>
      </c>
      <c r="BN83" s="46" t="s">
        <v>276</v>
      </c>
      <c r="BO83" s="46">
        <v>0.5</v>
      </c>
      <c r="BP83" s="48" t="s">
        <v>412</v>
      </c>
      <c r="BQ83" s="48">
        <v>0.2</v>
      </c>
      <c r="BR83" s="50" t="s">
        <v>227</v>
      </c>
      <c r="BS83" s="50">
        <v>0.2</v>
      </c>
      <c r="BU83" s="48" t="s">
        <v>1302</v>
      </c>
      <c r="BV83" s="48">
        <v>0.1</v>
      </c>
      <c r="BX83" s="107">
        <f t="shared" si="2"/>
        <v>4</v>
      </c>
      <c r="BY83" s="46" t="str">
        <f t="shared" si="3"/>
        <v>4SiSb</v>
      </c>
      <c r="BZ83" s="46">
        <v>0.5</v>
      </c>
      <c r="CE83" t="s">
        <v>713</v>
      </c>
      <c r="CF83" t="s">
        <v>1109</v>
      </c>
      <c r="CG83" t="s">
        <v>924</v>
      </c>
    </row>
    <row r="84" spans="4:85" x14ac:dyDescent="0.35">
      <c r="D84">
        <v>8</v>
      </c>
      <c r="E84" t="s">
        <v>1620</v>
      </c>
      <c r="F84" s="2">
        <v>1.0019097222222222</v>
      </c>
      <c r="G84" t="s">
        <v>28</v>
      </c>
      <c r="I84">
        <v>4</v>
      </c>
      <c r="J84">
        <v>3</v>
      </c>
      <c r="Q84">
        <v>4</v>
      </c>
      <c r="T84">
        <v>11</v>
      </c>
      <c r="U84">
        <v>3</v>
      </c>
      <c r="V84" s="1" t="s">
        <v>72</v>
      </c>
      <c r="BL84" s="45" t="s">
        <v>1303</v>
      </c>
      <c r="BM84" s="45">
        <v>0.1</v>
      </c>
      <c r="BN84" s="46" t="s">
        <v>277</v>
      </c>
      <c r="BO84" s="46">
        <v>0.3</v>
      </c>
      <c r="BP84" s="48" t="s">
        <v>414</v>
      </c>
      <c r="BQ84" s="48">
        <v>0.05</v>
      </c>
      <c r="BR84" s="50" t="s">
        <v>228</v>
      </c>
      <c r="BS84" s="50">
        <v>0.1</v>
      </c>
      <c r="BU84" s="48" t="s">
        <v>1304</v>
      </c>
      <c r="BV84" s="48">
        <v>0.1</v>
      </c>
      <c r="BX84" s="107">
        <f t="shared" si="2"/>
        <v>2</v>
      </c>
      <c r="BY84" s="46" t="str">
        <f t="shared" si="3"/>
        <v>2Bp</v>
      </c>
      <c r="BZ84" s="46">
        <v>0.3</v>
      </c>
      <c r="CE84" t="s">
        <v>714</v>
      </c>
      <c r="CF84" t="s">
        <v>1110</v>
      </c>
      <c r="CG84" t="s">
        <v>925</v>
      </c>
    </row>
    <row r="85" spans="4:85" x14ac:dyDescent="0.35">
      <c r="D85">
        <v>8</v>
      </c>
      <c r="E85" t="s">
        <v>17</v>
      </c>
      <c r="F85" s="2">
        <v>1.0019675925925926</v>
      </c>
      <c r="G85" t="s">
        <v>1327</v>
      </c>
      <c r="H85">
        <v>5</v>
      </c>
      <c r="I85">
        <v>1</v>
      </c>
      <c r="J85">
        <v>1</v>
      </c>
      <c r="S85">
        <v>1</v>
      </c>
      <c r="T85">
        <v>8</v>
      </c>
      <c r="U85">
        <v>11</v>
      </c>
      <c r="V85" s="1" t="s">
        <v>73</v>
      </c>
      <c r="BL85" s="45" t="s">
        <v>416</v>
      </c>
      <c r="BM85" s="45">
        <v>0.3</v>
      </c>
      <c r="BN85" s="46" t="s">
        <v>278</v>
      </c>
      <c r="BO85" s="46">
        <v>0.3</v>
      </c>
      <c r="BP85" s="48" t="s">
        <v>1301</v>
      </c>
      <c r="BQ85" s="48">
        <v>0.1</v>
      </c>
      <c r="BR85" s="50" t="s">
        <v>229</v>
      </c>
      <c r="BS85" s="50">
        <v>0.05</v>
      </c>
      <c r="BU85" s="48" t="s">
        <v>417</v>
      </c>
      <c r="BV85" s="48">
        <v>0.15</v>
      </c>
      <c r="BX85" s="107">
        <f t="shared" si="2"/>
        <v>3</v>
      </c>
      <c r="BY85" s="46" t="str">
        <f t="shared" si="3"/>
        <v>3ShF</v>
      </c>
      <c r="BZ85" s="46">
        <v>0.3</v>
      </c>
      <c r="CE85" t="s">
        <v>715</v>
      </c>
      <c r="CF85" t="s">
        <v>1111</v>
      </c>
      <c r="CG85" t="s">
        <v>926</v>
      </c>
    </row>
    <row r="86" spans="4:85" x14ac:dyDescent="0.35">
      <c r="D86">
        <v>8</v>
      </c>
      <c r="E86" t="s">
        <v>1619</v>
      </c>
      <c r="F86" s="2">
        <v>1.0024305555555555</v>
      </c>
      <c r="G86" t="s">
        <v>1328</v>
      </c>
      <c r="I86">
        <v>6</v>
      </c>
      <c r="J86">
        <v>3</v>
      </c>
      <c r="T86">
        <v>9</v>
      </c>
      <c r="U86">
        <v>12</v>
      </c>
      <c r="V86" s="1" t="s">
        <v>73</v>
      </c>
      <c r="BL86" s="45" t="s">
        <v>418</v>
      </c>
      <c r="BM86" s="45">
        <v>0.1</v>
      </c>
      <c r="BN86" s="46" t="s">
        <v>279</v>
      </c>
      <c r="BO86" s="46">
        <v>0.45</v>
      </c>
      <c r="BP86" s="48" t="s">
        <v>1303</v>
      </c>
      <c r="BQ86" s="48">
        <v>0.1</v>
      </c>
      <c r="BR86" s="50" t="s">
        <v>230</v>
      </c>
      <c r="BS86" s="50">
        <v>0.2</v>
      </c>
      <c r="BU86" s="48" t="s">
        <v>419</v>
      </c>
      <c r="BV86" s="48">
        <v>0.1</v>
      </c>
      <c r="BX86" s="107">
        <f t="shared" si="2"/>
        <v>1</v>
      </c>
      <c r="BY86" s="46" t="str">
        <f t="shared" si="3"/>
        <v>1E</v>
      </c>
      <c r="BZ86" s="46">
        <v>0.45</v>
      </c>
      <c r="CE86" t="s">
        <v>716</v>
      </c>
      <c r="CF86" t="s">
        <v>840</v>
      </c>
      <c r="CG86" t="s">
        <v>927</v>
      </c>
    </row>
    <row r="87" spans="4:85" x14ac:dyDescent="0.35">
      <c r="D87">
        <v>8</v>
      </c>
      <c r="E87" t="s">
        <v>1618</v>
      </c>
      <c r="F87" s="2">
        <v>1.0020833333333334</v>
      </c>
      <c r="G87" t="s">
        <v>1361</v>
      </c>
      <c r="J87">
        <v>4</v>
      </c>
      <c r="N87">
        <v>1</v>
      </c>
      <c r="O87">
        <v>1</v>
      </c>
      <c r="P87">
        <v>2</v>
      </c>
      <c r="R87">
        <v>1</v>
      </c>
      <c r="T87">
        <v>9</v>
      </c>
      <c r="U87">
        <v>4</v>
      </c>
      <c r="V87" s="1" t="s">
        <v>73</v>
      </c>
      <c r="BL87" s="45" t="s">
        <v>420</v>
      </c>
      <c r="BM87" s="45">
        <v>0.1</v>
      </c>
      <c r="BN87" s="46" t="s">
        <v>280</v>
      </c>
      <c r="BO87" s="46">
        <v>0.5</v>
      </c>
      <c r="BP87" s="48" t="s">
        <v>416</v>
      </c>
      <c r="BQ87" s="48">
        <v>0.3</v>
      </c>
      <c r="BR87" s="50" t="s">
        <v>231</v>
      </c>
      <c r="BS87" s="50">
        <v>0.2</v>
      </c>
      <c r="BU87" s="48" t="s">
        <v>421</v>
      </c>
      <c r="BV87" s="48">
        <v>0.1</v>
      </c>
      <c r="BX87" s="107">
        <f t="shared" si="2"/>
        <v>1</v>
      </c>
      <c r="BY87" s="46" t="str">
        <f t="shared" si="3"/>
        <v>1I</v>
      </c>
      <c r="BZ87" s="46">
        <v>0.5</v>
      </c>
      <c r="CE87" t="s">
        <v>717</v>
      </c>
      <c r="CF87" t="s">
        <v>1228</v>
      </c>
      <c r="CG87" t="s">
        <v>841</v>
      </c>
    </row>
    <row r="88" spans="4:85" x14ac:dyDescent="0.35">
      <c r="D88">
        <v>8</v>
      </c>
      <c r="E88" t="s">
        <v>1623</v>
      </c>
      <c r="F88" s="2">
        <v>1.0020833333333334</v>
      </c>
      <c r="G88" t="s">
        <v>1329</v>
      </c>
      <c r="J88">
        <v>7</v>
      </c>
      <c r="T88">
        <v>7</v>
      </c>
      <c r="U88">
        <v>10</v>
      </c>
      <c r="V88" s="1" t="s">
        <v>73</v>
      </c>
      <c r="BL88" s="45" t="s">
        <v>422</v>
      </c>
      <c r="BM88" s="45">
        <v>0.15</v>
      </c>
      <c r="BN88" s="46" t="s">
        <v>281</v>
      </c>
      <c r="BO88" s="46">
        <v>0.8</v>
      </c>
      <c r="BP88" s="48" t="s">
        <v>418</v>
      </c>
      <c r="BQ88" s="48">
        <v>0.1</v>
      </c>
      <c r="BR88" s="50" t="s">
        <v>232</v>
      </c>
      <c r="BS88" s="50">
        <v>0.2</v>
      </c>
      <c r="BU88" s="48" t="s">
        <v>423</v>
      </c>
      <c r="BV88" s="48">
        <v>0.1</v>
      </c>
      <c r="BX88" s="107">
        <f t="shared" si="2"/>
        <v>3</v>
      </c>
      <c r="BY88" s="46" t="str">
        <f t="shared" si="3"/>
        <v>3PH/</v>
      </c>
      <c r="BZ88" s="46">
        <v>0.8</v>
      </c>
      <c r="CE88" t="s">
        <v>718</v>
      </c>
      <c r="CF88" t="s">
        <v>1112</v>
      </c>
      <c r="CG88" t="s">
        <v>928</v>
      </c>
    </row>
    <row r="89" spans="4:85" x14ac:dyDescent="0.35">
      <c r="BL89" s="45" t="s">
        <v>424</v>
      </c>
      <c r="BM89" s="45">
        <v>0.2</v>
      </c>
      <c r="BN89" s="46" t="s">
        <v>282</v>
      </c>
      <c r="BO89" s="46">
        <v>0.3</v>
      </c>
      <c r="BP89" s="48" t="s">
        <v>420</v>
      </c>
      <c r="BQ89" s="48">
        <v>0.1</v>
      </c>
      <c r="BR89" s="50" t="s">
        <v>233</v>
      </c>
      <c r="BS89" s="50">
        <v>0.3</v>
      </c>
      <c r="BU89" s="48" t="s">
        <v>425</v>
      </c>
      <c r="BV89" s="48">
        <v>0.15</v>
      </c>
      <c r="BX89" s="107">
        <f t="shared" si="2"/>
        <v>4</v>
      </c>
      <c r="BY89" s="46" t="str">
        <f t="shared" si="3"/>
        <v>4Li4H</v>
      </c>
      <c r="BZ89" s="46">
        <v>0.3</v>
      </c>
      <c r="CE89" t="s">
        <v>719</v>
      </c>
      <c r="CF89" t="s">
        <v>1113</v>
      </c>
      <c r="CG89" t="s">
        <v>929</v>
      </c>
    </row>
    <row r="90" spans="4:85" x14ac:dyDescent="0.35">
      <c r="BL90" s="45" t="s">
        <v>426</v>
      </c>
      <c r="BM90" s="45">
        <v>0.25</v>
      </c>
      <c r="BN90" s="46" t="s">
        <v>283</v>
      </c>
      <c r="BO90" s="46">
        <v>0.4</v>
      </c>
      <c r="BP90" s="48" t="s">
        <v>422</v>
      </c>
      <c r="BQ90" s="48">
        <v>0.15</v>
      </c>
      <c r="BR90" s="50" t="s">
        <v>234</v>
      </c>
      <c r="BS90" s="50">
        <v>0.2</v>
      </c>
      <c r="BU90" s="48" t="s">
        <v>427</v>
      </c>
      <c r="BV90" s="48">
        <v>0.2</v>
      </c>
      <c r="BX90" s="107">
        <f t="shared" si="2"/>
        <v>1</v>
      </c>
      <c r="BY90" s="46" t="str">
        <f t="shared" si="3"/>
        <v>1W</v>
      </c>
      <c r="BZ90" s="46">
        <v>0.4</v>
      </c>
      <c r="CE90" t="s">
        <v>720</v>
      </c>
      <c r="CF90" t="s">
        <v>1114</v>
      </c>
      <c r="CG90" t="s">
        <v>930</v>
      </c>
    </row>
    <row r="91" spans="4:85" x14ac:dyDescent="0.35">
      <c r="BL91" s="45"/>
      <c r="BM91" s="45"/>
      <c r="BN91" s="46" t="s">
        <v>284</v>
      </c>
      <c r="BO91" s="46">
        <v>0.4</v>
      </c>
      <c r="BP91" s="48" t="s">
        <v>424</v>
      </c>
      <c r="BQ91" s="48">
        <v>0.2</v>
      </c>
      <c r="BR91" s="50" t="s">
        <v>235</v>
      </c>
      <c r="BS91" s="50">
        <v>0.2</v>
      </c>
      <c r="BU91" s="48" t="s">
        <v>569</v>
      </c>
      <c r="BV91" s="48">
        <v>0.05</v>
      </c>
      <c r="BX91" s="107">
        <f t="shared" si="2"/>
        <v>2</v>
      </c>
      <c r="BY91" s="46" t="str">
        <f t="shared" si="3"/>
        <v>2Py</v>
      </c>
      <c r="BZ91" s="46">
        <v>0.4</v>
      </c>
      <c r="CE91" t="s">
        <v>721</v>
      </c>
      <c r="CF91" t="s">
        <v>1229</v>
      </c>
      <c r="CG91" t="s">
        <v>931</v>
      </c>
    </row>
    <row r="92" spans="4:85" x14ac:dyDescent="0.35">
      <c r="BL92" s="45"/>
      <c r="BM92" s="45"/>
      <c r="BN92" s="46" t="s">
        <v>285</v>
      </c>
      <c r="BO92" s="46">
        <v>0.45</v>
      </c>
      <c r="BP92" s="48" t="s">
        <v>426</v>
      </c>
      <c r="BQ92" s="48">
        <v>0.25</v>
      </c>
      <c r="BR92" s="50" t="s">
        <v>236</v>
      </c>
      <c r="BS92" s="50">
        <v>0.1</v>
      </c>
      <c r="BU92" s="48" t="s">
        <v>315</v>
      </c>
      <c r="BV92" s="48">
        <v>0.05</v>
      </c>
      <c r="BX92" s="107">
        <f t="shared" si="2"/>
        <v>2</v>
      </c>
      <c r="BY92" s="46" t="str">
        <f t="shared" si="3"/>
        <v>2AP</v>
      </c>
      <c r="BZ92" s="46">
        <v>0.45</v>
      </c>
      <c r="CE92" t="s">
        <v>722</v>
      </c>
      <c r="CF92" t="s">
        <v>1115</v>
      </c>
      <c r="CG92" t="s">
        <v>932</v>
      </c>
    </row>
    <row r="93" spans="4:85" x14ac:dyDescent="0.35">
      <c r="D93">
        <v>9</v>
      </c>
      <c r="E93" t="s">
        <v>18</v>
      </c>
      <c r="BL93" s="45" t="s">
        <v>405</v>
      </c>
      <c r="BM93" s="45">
        <v>0.05</v>
      </c>
      <c r="BN93" s="46" t="s">
        <v>286</v>
      </c>
      <c r="BO93" s="46">
        <v>0.1</v>
      </c>
      <c r="BP93" s="48" t="s">
        <v>313</v>
      </c>
      <c r="BQ93" s="48">
        <v>0.1</v>
      </c>
      <c r="BR93" s="50" t="s">
        <v>237</v>
      </c>
      <c r="BS93" s="50">
        <v>0.3</v>
      </c>
      <c r="BU93" s="48" t="s">
        <v>317</v>
      </c>
      <c r="BV93" s="48">
        <v>0.1</v>
      </c>
      <c r="BX93" s="107">
        <f t="shared" si="2"/>
        <v>4</v>
      </c>
      <c r="BY93" s="46" t="str">
        <f t="shared" si="3"/>
        <v>4ShF*</v>
      </c>
      <c r="BZ93" s="46">
        <v>0.1</v>
      </c>
      <c r="CE93" t="s">
        <v>723</v>
      </c>
      <c r="CF93" t="s">
        <v>1116</v>
      </c>
      <c r="CG93" t="s">
        <v>933</v>
      </c>
    </row>
    <row r="94" spans="4:85" x14ac:dyDescent="0.35">
      <c r="D94">
        <v>9</v>
      </c>
      <c r="E94" t="s">
        <v>17</v>
      </c>
      <c r="BL94" s="45" t="s">
        <v>407</v>
      </c>
      <c r="BM94" s="45">
        <v>0.1</v>
      </c>
      <c r="BN94" s="46" t="s">
        <v>287</v>
      </c>
      <c r="BO94" s="46">
        <v>0.1</v>
      </c>
      <c r="BP94" s="48" t="s">
        <v>314</v>
      </c>
      <c r="BQ94" s="48">
        <v>0.15</v>
      </c>
      <c r="BR94" s="50" t="s">
        <v>238</v>
      </c>
      <c r="BS94" s="50">
        <v>0.1</v>
      </c>
      <c r="BU94" s="48" t="s">
        <v>320</v>
      </c>
      <c r="BV94" s="48">
        <v>0.2</v>
      </c>
      <c r="BX94" s="107">
        <f t="shared" si="2"/>
        <v>2</v>
      </c>
      <c r="BY94" s="46" t="str">
        <f t="shared" si="3"/>
        <v>2Su</v>
      </c>
      <c r="BZ94" s="46">
        <v>0.1</v>
      </c>
      <c r="CE94" t="s">
        <v>724</v>
      </c>
      <c r="CF94" t="s">
        <v>1117</v>
      </c>
      <c r="CG94" t="s">
        <v>934</v>
      </c>
    </row>
    <row r="95" spans="4:85" x14ac:dyDescent="0.35">
      <c r="D95">
        <v>9</v>
      </c>
      <c r="E95" t="s">
        <v>550</v>
      </c>
      <c r="BL95" s="45" t="s">
        <v>409</v>
      </c>
      <c r="BM95" s="45">
        <v>0.15</v>
      </c>
      <c r="BN95" s="46" t="s">
        <v>288</v>
      </c>
      <c r="BO95" s="46">
        <v>0.15</v>
      </c>
      <c r="BP95" s="48" t="s">
        <v>316</v>
      </c>
      <c r="BQ95" s="48">
        <v>0.2</v>
      </c>
      <c r="BR95" s="50" t="s">
        <v>239</v>
      </c>
      <c r="BS95" s="50">
        <v>0.3</v>
      </c>
      <c r="BU95" s="48" t="s">
        <v>321</v>
      </c>
      <c r="BV95" s="48">
        <v>0.3</v>
      </c>
      <c r="BX95" s="107">
        <f t="shared" si="2"/>
        <v>2</v>
      </c>
      <c r="BY95" s="46" t="str">
        <f t="shared" si="3"/>
        <v>2Ta</v>
      </c>
      <c r="BZ95" s="46">
        <v>0.15</v>
      </c>
      <c r="CE95" t="s">
        <v>725</v>
      </c>
      <c r="CF95" t="s">
        <v>1118</v>
      </c>
      <c r="CG95" t="s">
        <v>935</v>
      </c>
    </row>
    <row r="96" spans="4:85" x14ac:dyDescent="0.35">
      <c r="D96">
        <v>9</v>
      </c>
      <c r="E96" t="s">
        <v>572</v>
      </c>
      <c r="BL96" s="45" t="s">
        <v>411</v>
      </c>
      <c r="BM96" s="45">
        <v>0.1</v>
      </c>
      <c r="BN96" s="46" t="s">
        <v>289</v>
      </c>
      <c r="BO96" s="46">
        <v>0.1</v>
      </c>
      <c r="BP96" s="48" t="s">
        <v>318</v>
      </c>
      <c r="BQ96" s="48">
        <v>0.25</v>
      </c>
      <c r="BR96" s="50" t="s">
        <v>240</v>
      </c>
      <c r="BS96" s="50">
        <v>0.2</v>
      </c>
      <c r="BU96" s="48" t="s">
        <v>323</v>
      </c>
      <c r="BV96" s="48">
        <v>0.3</v>
      </c>
      <c r="BX96" s="107">
        <f t="shared" si="2"/>
        <v>3</v>
      </c>
      <c r="BY96" s="46" t="str">
        <f t="shared" si="3"/>
        <v>3SiS</v>
      </c>
      <c r="BZ96" s="46">
        <v>0.1</v>
      </c>
      <c r="CE96" t="s">
        <v>726</v>
      </c>
      <c r="CF96" t="s">
        <v>1119</v>
      </c>
      <c r="CG96" t="s">
        <v>936</v>
      </c>
    </row>
    <row r="97" spans="4:85" x14ac:dyDescent="0.35">
      <c r="D97">
        <v>9</v>
      </c>
      <c r="E97" t="s">
        <v>551</v>
      </c>
      <c r="BL97" s="45" t="s">
        <v>413</v>
      </c>
      <c r="BM97" s="45">
        <v>0.2</v>
      </c>
      <c r="BN97" s="46" t="s">
        <v>290</v>
      </c>
      <c r="BO97" s="46">
        <v>0.1</v>
      </c>
      <c r="BP97" s="48" t="s">
        <v>319</v>
      </c>
      <c r="BQ97" s="48">
        <v>0.45</v>
      </c>
      <c r="BR97" s="50" t="s">
        <v>241</v>
      </c>
      <c r="BS97" s="50">
        <v>0.3</v>
      </c>
      <c r="BU97" s="48" t="s">
        <v>325</v>
      </c>
      <c r="BV97" s="48">
        <v>0.4</v>
      </c>
      <c r="BX97" s="107">
        <f t="shared" si="2"/>
        <v>3</v>
      </c>
      <c r="BY97" s="46" t="str">
        <f t="shared" si="3"/>
        <v>3F1S</v>
      </c>
      <c r="BZ97" s="46">
        <v>0.1</v>
      </c>
      <c r="CE97" t="s">
        <v>727</v>
      </c>
      <c r="CF97" t="s">
        <v>1120</v>
      </c>
      <c r="CG97" t="s">
        <v>937</v>
      </c>
    </row>
    <row r="98" spans="4:85" x14ac:dyDescent="0.35">
      <c r="D98">
        <v>9</v>
      </c>
      <c r="E98" t="s">
        <v>552</v>
      </c>
      <c r="BL98" s="45" t="s">
        <v>415</v>
      </c>
      <c r="BM98" s="45">
        <v>0.05</v>
      </c>
      <c r="BN98" s="46" t="s">
        <v>291</v>
      </c>
      <c r="BO98" s="46">
        <v>0.05</v>
      </c>
      <c r="BP98" s="48" t="s">
        <v>322</v>
      </c>
      <c r="BQ98" s="48">
        <v>0.4</v>
      </c>
      <c r="BR98" s="50" t="s">
        <v>242</v>
      </c>
      <c r="BS98" s="50">
        <v>0.2</v>
      </c>
      <c r="BU98" s="48" t="s">
        <v>327</v>
      </c>
      <c r="BV98" s="48">
        <v>0.1</v>
      </c>
      <c r="BX98" s="107">
        <f t="shared" si="2"/>
        <v>2</v>
      </c>
      <c r="BY98" s="46" t="str">
        <f t="shared" si="3"/>
        <v>2FS</v>
      </c>
      <c r="BZ98" s="46">
        <v>0.05</v>
      </c>
      <c r="CE98" t="s">
        <v>728</v>
      </c>
      <c r="CF98" t="s">
        <v>1230</v>
      </c>
      <c r="CG98" t="s">
        <v>938</v>
      </c>
    </row>
    <row r="99" spans="4:85" x14ac:dyDescent="0.35">
      <c r="D99">
        <v>9</v>
      </c>
      <c r="E99" t="s">
        <v>1618</v>
      </c>
      <c r="BL99" s="45" t="s">
        <v>1302</v>
      </c>
      <c r="BM99" s="45">
        <v>0.1</v>
      </c>
      <c r="BN99" s="46" t="s">
        <v>292</v>
      </c>
      <c r="BO99" s="46">
        <v>0.2</v>
      </c>
      <c r="BP99" s="48" t="s">
        <v>324</v>
      </c>
      <c r="BQ99" s="48">
        <v>0.5</v>
      </c>
      <c r="BR99" s="50" t="s">
        <v>243</v>
      </c>
      <c r="BS99" s="50">
        <v>0.4</v>
      </c>
      <c r="BU99" s="48" t="s">
        <v>329</v>
      </c>
      <c r="BV99" s="48">
        <v>0.25</v>
      </c>
      <c r="BX99" s="107">
        <f t="shared" si="2"/>
        <v>4</v>
      </c>
      <c r="BY99" s="46" t="str">
        <f t="shared" si="3"/>
        <v>4F1S/</v>
      </c>
      <c r="BZ99" s="46">
        <v>0.2</v>
      </c>
      <c r="CE99" t="s">
        <v>729</v>
      </c>
      <c r="CF99" t="s">
        <v>1121</v>
      </c>
      <c r="CG99" t="s">
        <v>939</v>
      </c>
    </row>
    <row r="100" spans="4:85" x14ac:dyDescent="0.35">
      <c r="BL100" s="45" t="s">
        <v>1304</v>
      </c>
      <c r="BM100" s="45">
        <v>0.1</v>
      </c>
      <c r="BN100" s="46" t="s">
        <v>293</v>
      </c>
      <c r="BO100" s="46">
        <v>0.1</v>
      </c>
      <c r="BP100" s="48" t="s">
        <v>326</v>
      </c>
      <c r="BQ100" s="48">
        <v>0.25</v>
      </c>
      <c r="BR100" s="50" t="s">
        <v>244</v>
      </c>
      <c r="BS100" s="50">
        <v>0.3</v>
      </c>
      <c r="BU100" s="48" t="s">
        <v>331</v>
      </c>
      <c r="BV100" s="48">
        <v>0.3</v>
      </c>
      <c r="BX100" s="107">
        <f t="shared" si="2"/>
        <v>2</v>
      </c>
      <c r="BY100" s="46" t="str">
        <f t="shared" si="3"/>
        <v>2Le</v>
      </c>
      <c r="BZ100" s="46">
        <v>0.1</v>
      </c>
      <c r="CE100" t="s">
        <v>730</v>
      </c>
      <c r="CF100" t="s">
        <v>1122</v>
      </c>
      <c r="CG100" t="s">
        <v>940</v>
      </c>
    </row>
    <row r="101" spans="4:85" x14ac:dyDescent="0.35">
      <c r="BL101" s="45" t="s">
        <v>417</v>
      </c>
      <c r="BM101" s="45">
        <v>0.15</v>
      </c>
      <c r="BN101" s="46" t="s">
        <v>294</v>
      </c>
      <c r="BO101" s="46">
        <v>0.1</v>
      </c>
      <c r="BP101" s="48" t="s">
        <v>328</v>
      </c>
      <c r="BQ101" s="48">
        <v>0.35</v>
      </c>
      <c r="BR101" s="50" t="s">
        <v>245</v>
      </c>
      <c r="BS101" s="50">
        <v>0.1</v>
      </c>
      <c r="BU101" s="48" t="s">
        <v>333</v>
      </c>
      <c r="BV101" s="48">
        <v>0.45</v>
      </c>
      <c r="BX101" s="107">
        <f t="shared" si="2"/>
        <v>2</v>
      </c>
      <c r="BY101" s="46" t="str">
        <f t="shared" si="3"/>
        <v>2Li</v>
      </c>
      <c r="BZ101" s="46">
        <v>0.1</v>
      </c>
      <c r="CE101" t="s">
        <v>731</v>
      </c>
      <c r="CF101" t="s">
        <v>1123</v>
      </c>
      <c r="CG101" t="s">
        <v>941</v>
      </c>
    </row>
    <row r="102" spans="4:85" x14ac:dyDescent="0.35">
      <c r="BL102" s="45" t="s">
        <v>419</v>
      </c>
      <c r="BM102" s="45">
        <v>0.1</v>
      </c>
      <c r="BN102" s="46" t="s">
        <v>295</v>
      </c>
      <c r="BO102" s="46">
        <v>0.2</v>
      </c>
      <c r="BP102" s="48" t="s">
        <v>330</v>
      </c>
      <c r="BQ102" s="48">
        <v>0.45</v>
      </c>
      <c r="BR102" s="50" t="s">
        <v>246</v>
      </c>
      <c r="BS102" s="50">
        <v>0.3</v>
      </c>
      <c r="BU102" s="48" t="s">
        <v>335</v>
      </c>
      <c r="BV102" s="48">
        <v>0.4</v>
      </c>
      <c r="BX102" s="107">
        <f t="shared" si="2"/>
        <v>2</v>
      </c>
      <c r="BY102" s="46" t="str">
        <f t="shared" si="3"/>
        <v>2Ch</v>
      </c>
      <c r="BZ102" s="46">
        <v>0.2</v>
      </c>
      <c r="CE102" t="s">
        <v>732</v>
      </c>
      <c r="CF102" t="s">
        <v>1124</v>
      </c>
      <c r="CG102" t="s">
        <v>942</v>
      </c>
    </row>
    <row r="103" spans="4:85" x14ac:dyDescent="0.35">
      <c r="D103">
        <v>10</v>
      </c>
      <c r="E103" t="s">
        <v>18</v>
      </c>
      <c r="BL103" s="45" t="s">
        <v>421</v>
      </c>
      <c r="BM103" s="45">
        <v>0.1</v>
      </c>
      <c r="BN103" s="46" t="s">
        <v>296</v>
      </c>
      <c r="BO103" s="46">
        <v>0.1</v>
      </c>
      <c r="BP103" s="48" t="s">
        <v>332</v>
      </c>
      <c r="BQ103" s="48">
        <v>0.55000000000000004</v>
      </c>
      <c r="BR103" s="50" t="s">
        <v>247</v>
      </c>
      <c r="BS103" s="50">
        <v>0.4</v>
      </c>
      <c r="BU103" s="48" t="s">
        <v>337</v>
      </c>
      <c r="BV103" s="48">
        <v>0.1</v>
      </c>
      <c r="BX103" s="107">
        <f t="shared" si="2"/>
        <v>2</v>
      </c>
      <c r="BY103" s="46" t="str">
        <f t="shared" si="3"/>
        <v>2Tw</v>
      </c>
      <c r="BZ103" s="46">
        <v>0.1</v>
      </c>
      <c r="CE103" t="s">
        <v>733</v>
      </c>
      <c r="CF103" t="s">
        <v>1125</v>
      </c>
      <c r="CG103" t="s">
        <v>943</v>
      </c>
    </row>
    <row r="104" spans="4:85" x14ac:dyDescent="0.35">
      <c r="D104">
        <v>10</v>
      </c>
      <c r="E104" t="s">
        <v>550</v>
      </c>
      <c r="BL104" s="45" t="s">
        <v>423</v>
      </c>
      <c r="BM104" s="45">
        <v>0.1</v>
      </c>
      <c r="BN104" s="46" t="s">
        <v>297</v>
      </c>
      <c r="BO104" s="46">
        <v>0.1</v>
      </c>
      <c r="BP104" s="48" t="s">
        <v>334</v>
      </c>
      <c r="BQ104" s="48">
        <v>0.65</v>
      </c>
      <c r="BR104" s="50" t="s">
        <v>248</v>
      </c>
      <c r="BS104" s="50">
        <v>0.4</v>
      </c>
      <c r="BU104" s="48" t="s">
        <v>339</v>
      </c>
      <c r="BV104" s="48">
        <v>0.1</v>
      </c>
      <c r="BX104" s="107">
        <f t="shared" si="2"/>
        <v>3</v>
      </c>
      <c r="BY104" s="46" t="str">
        <f t="shared" si="3"/>
        <v>3Tw*</v>
      </c>
      <c r="BZ104" s="46">
        <v>0.1</v>
      </c>
      <c r="CE104" t="s">
        <v>734</v>
      </c>
      <c r="CF104" t="s">
        <v>1126</v>
      </c>
      <c r="CG104" t="s">
        <v>944</v>
      </c>
    </row>
    <row r="105" spans="4:85" x14ac:dyDescent="0.35">
      <c r="D105">
        <v>10</v>
      </c>
      <c r="E105" t="s">
        <v>572</v>
      </c>
      <c r="BL105" s="45" t="s">
        <v>425</v>
      </c>
      <c r="BM105" s="45">
        <v>0.15</v>
      </c>
      <c r="BN105" s="46" t="s">
        <v>298</v>
      </c>
      <c r="BO105" s="46">
        <v>0.1</v>
      </c>
      <c r="BP105" s="48" t="s">
        <v>336</v>
      </c>
      <c r="BQ105" s="48">
        <v>0.1</v>
      </c>
      <c r="BR105" s="50" t="s">
        <v>249</v>
      </c>
      <c r="BS105" s="50">
        <v>0.3</v>
      </c>
      <c r="BU105" s="48" t="s">
        <v>341</v>
      </c>
      <c r="BV105" s="48">
        <v>0.05</v>
      </c>
      <c r="BX105" s="107">
        <f t="shared" si="2"/>
        <v>2</v>
      </c>
      <c r="BY105" s="46" t="str">
        <f t="shared" si="3"/>
        <v>2AV</v>
      </c>
      <c r="BZ105" s="46">
        <v>0.1</v>
      </c>
      <c r="CE105" t="s">
        <v>735</v>
      </c>
      <c r="CF105" t="s">
        <v>1127</v>
      </c>
      <c r="CG105" t="s">
        <v>945</v>
      </c>
    </row>
    <row r="106" spans="4:85" x14ac:dyDescent="0.35">
      <c r="D106">
        <v>10</v>
      </c>
      <c r="E106" t="s">
        <v>551</v>
      </c>
      <c r="BL106" s="45" t="s">
        <v>427</v>
      </c>
      <c r="BM106" s="45">
        <v>0.2</v>
      </c>
      <c r="BN106" s="46" t="s">
        <v>299</v>
      </c>
      <c r="BO106" s="46">
        <v>0.1</v>
      </c>
      <c r="BP106" s="48" t="s">
        <v>338</v>
      </c>
      <c r="BQ106" s="48">
        <v>0.15</v>
      </c>
      <c r="BR106" s="50" t="s">
        <v>1277</v>
      </c>
      <c r="BS106" s="50">
        <v>0.3</v>
      </c>
      <c r="BU106" s="48" t="s">
        <v>343</v>
      </c>
      <c r="BV106" s="48">
        <v>0.1</v>
      </c>
      <c r="BX106" s="107">
        <f t="shared" si="2"/>
        <v>3</v>
      </c>
      <c r="BY106" s="46" t="str">
        <f t="shared" si="3"/>
        <v>3AF*</v>
      </c>
      <c r="BZ106" s="46">
        <v>0.1</v>
      </c>
      <c r="CE106" t="s">
        <v>736</v>
      </c>
      <c r="CF106" t="s">
        <v>1128</v>
      </c>
      <c r="CG106" t="s">
        <v>946</v>
      </c>
    </row>
    <row r="107" spans="4:85" x14ac:dyDescent="0.35">
      <c r="D107">
        <v>10</v>
      </c>
      <c r="E107" t="s">
        <v>552</v>
      </c>
      <c r="BL107" s="45"/>
      <c r="BM107" s="45"/>
      <c r="BN107" s="46" t="s">
        <v>300</v>
      </c>
      <c r="BO107" s="46">
        <v>0.1</v>
      </c>
      <c r="BP107" s="48" t="s">
        <v>340</v>
      </c>
      <c r="BQ107" s="48">
        <v>0.05</v>
      </c>
      <c r="BR107" s="50" t="s">
        <v>250</v>
      </c>
      <c r="BS107" s="50">
        <v>0.2</v>
      </c>
      <c r="BU107" s="48" t="s">
        <v>345</v>
      </c>
      <c r="BV107" s="48">
        <v>0.2</v>
      </c>
      <c r="BX107" s="107">
        <f t="shared" si="2"/>
        <v>4</v>
      </c>
      <c r="BY107" s="46" t="str">
        <f t="shared" si="3"/>
        <v>4SpSp</v>
      </c>
      <c r="BZ107" s="46">
        <v>0.1</v>
      </c>
      <c r="CE107" t="s">
        <v>737</v>
      </c>
      <c r="CF107" t="s">
        <v>1129</v>
      </c>
      <c r="CG107" t="s">
        <v>947</v>
      </c>
    </row>
    <row r="108" spans="4:85" x14ac:dyDescent="0.35">
      <c r="BL108" s="45"/>
      <c r="BM108" s="45"/>
      <c r="BN108" s="46" t="s">
        <v>301</v>
      </c>
      <c r="BO108" s="46">
        <v>0.15</v>
      </c>
      <c r="BP108" s="48" t="s">
        <v>342</v>
      </c>
      <c r="BQ108" s="48">
        <v>0.1</v>
      </c>
      <c r="BR108" s="50" t="s">
        <v>251</v>
      </c>
      <c r="BS108" s="50">
        <v>0.2</v>
      </c>
      <c r="BU108" s="48" t="s">
        <v>570</v>
      </c>
      <c r="BV108" s="48">
        <v>0.2</v>
      </c>
      <c r="BX108" s="107">
        <f t="shared" si="2"/>
        <v>3</v>
      </c>
      <c r="BY108" s="46" t="str">
        <f t="shared" si="3"/>
        <v>3SiF</v>
      </c>
      <c r="BZ108" s="46">
        <v>0.15</v>
      </c>
      <c r="CE108" t="s">
        <v>738</v>
      </c>
      <c r="CF108" t="s">
        <v>1130</v>
      </c>
      <c r="CG108" t="s">
        <v>948</v>
      </c>
    </row>
    <row r="109" spans="4:85" x14ac:dyDescent="0.35">
      <c r="BL109" s="45"/>
      <c r="BM109" s="45"/>
      <c r="BN109" s="46" t="s">
        <v>302</v>
      </c>
      <c r="BO109" s="46">
        <v>0.25</v>
      </c>
      <c r="BP109" s="48" t="s">
        <v>344</v>
      </c>
      <c r="BQ109" s="48">
        <v>0.2</v>
      </c>
      <c r="BR109" s="50" t="s">
        <v>252</v>
      </c>
      <c r="BS109" s="50">
        <v>0.1</v>
      </c>
      <c r="BU109" s="48" t="s">
        <v>348</v>
      </c>
      <c r="BV109" s="48">
        <v>0.1</v>
      </c>
      <c r="BX109" s="107">
        <f t="shared" si="2"/>
        <v>3</v>
      </c>
      <c r="BY109" s="46" t="str">
        <f t="shared" si="3"/>
        <v>3BBb</v>
      </c>
      <c r="BZ109" s="46">
        <v>0.25</v>
      </c>
      <c r="CE109" t="s">
        <v>739</v>
      </c>
      <c r="CF109" t="s">
        <v>1131</v>
      </c>
      <c r="CG109" t="s">
        <v>949</v>
      </c>
    </row>
    <row r="110" spans="4:85" x14ac:dyDescent="0.35">
      <c r="BL110" s="45"/>
      <c r="BM110" s="45"/>
      <c r="BN110" s="46" t="s">
        <v>303</v>
      </c>
      <c r="BO110" s="46">
        <v>0.1</v>
      </c>
      <c r="BP110" s="48" t="s">
        <v>346</v>
      </c>
      <c r="BQ110" s="48">
        <v>0.2</v>
      </c>
      <c r="BR110" s="50" t="s">
        <v>253</v>
      </c>
      <c r="BS110" s="50">
        <v>0.1</v>
      </c>
      <c r="BU110" s="48" t="s">
        <v>350</v>
      </c>
      <c r="BV110" s="48">
        <v>0.2</v>
      </c>
      <c r="BX110" s="107">
        <f t="shared" si="2"/>
        <v>3</v>
      </c>
      <c r="BY110" s="46" t="str">
        <f t="shared" si="3"/>
        <v>3Li*</v>
      </c>
      <c r="BZ110" s="46">
        <v>0.1</v>
      </c>
      <c r="CE110" t="s">
        <v>740</v>
      </c>
      <c r="CF110" t="s">
        <v>1231</v>
      </c>
      <c r="CG110" t="s">
        <v>950</v>
      </c>
    </row>
    <row r="111" spans="4:85" x14ac:dyDescent="0.35">
      <c r="BL111" s="45"/>
      <c r="BM111" s="45"/>
      <c r="BN111" s="46" t="s">
        <v>304</v>
      </c>
      <c r="BO111" s="46">
        <v>0.2</v>
      </c>
      <c r="BP111" s="48" t="s">
        <v>347</v>
      </c>
      <c r="BQ111" s="48">
        <v>0.2</v>
      </c>
      <c r="BR111" s="50" t="s">
        <v>254</v>
      </c>
      <c r="BS111" s="50">
        <v>0.1</v>
      </c>
      <c r="BU111" s="48" t="s">
        <v>352</v>
      </c>
      <c r="BV111" s="48">
        <v>0.05</v>
      </c>
      <c r="BX111" s="107">
        <f t="shared" si="2"/>
        <v>3</v>
      </c>
      <c r="BY111" s="46" t="str">
        <f t="shared" si="3"/>
        <v>3SiV</v>
      </c>
      <c r="BZ111" s="46">
        <v>0.2</v>
      </c>
      <c r="CE111" t="s">
        <v>741</v>
      </c>
      <c r="CF111" t="s">
        <v>1132</v>
      </c>
      <c r="CG111" t="s">
        <v>951</v>
      </c>
    </row>
    <row r="112" spans="4:85" x14ac:dyDescent="0.35">
      <c r="BL112" s="45"/>
      <c r="BM112" s="45"/>
      <c r="BN112" s="46" t="s">
        <v>305</v>
      </c>
      <c r="BO112" s="46">
        <v>0.35</v>
      </c>
      <c r="BP112" s="48" t="s">
        <v>349</v>
      </c>
      <c r="BQ112" s="48">
        <v>0.3</v>
      </c>
      <c r="BR112" s="50" t="s">
        <v>255</v>
      </c>
      <c r="BS112" s="50">
        <v>0.1</v>
      </c>
      <c r="BU112" s="48" t="s">
        <v>354</v>
      </c>
      <c r="BV112" s="48">
        <v>0.05</v>
      </c>
      <c r="BX112" s="107">
        <f t="shared" si="2"/>
        <v>3</v>
      </c>
      <c r="BY112" s="46" t="str">
        <f t="shared" si="3"/>
        <v>3AP/</v>
      </c>
      <c r="BZ112" s="46">
        <v>0.35</v>
      </c>
      <c r="CE112" t="s">
        <v>742</v>
      </c>
      <c r="CF112" t="s">
        <v>1133</v>
      </c>
      <c r="CG112" t="s">
        <v>952</v>
      </c>
    </row>
    <row r="113" spans="4:85" x14ac:dyDescent="0.35">
      <c r="D113">
        <v>11</v>
      </c>
      <c r="E113" t="s">
        <v>18</v>
      </c>
      <c r="BL113" s="45"/>
      <c r="BM113" s="45"/>
      <c r="BN113" s="46" t="s">
        <v>306</v>
      </c>
      <c r="BO113" s="46">
        <v>0.3</v>
      </c>
      <c r="BP113" s="48" t="s">
        <v>351</v>
      </c>
      <c r="BQ113" s="48">
        <v>0.15</v>
      </c>
      <c r="BR113" s="50" t="s">
        <v>256</v>
      </c>
      <c r="BS113" s="50">
        <v>0.3</v>
      </c>
      <c r="BU113" s="48" t="s">
        <v>356</v>
      </c>
      <c r="BV113" s="48">
        <v>0.05</v>
      </c>
      <c r="BX113" s="107">
        <f t="shared" si="2"/>
        <v>3</v>
      </c>
      <c r="BY113" s="46" t="str">
        <f t="shared" si="3"/>
        <v>3PH*</v>
      </c>
      <c r="BZ113" s="46">
        <v>0.3</v>
      </c>
      <c r="CE113" t="s">
        <v>743</v>
      </c>
      <c r="CF113" t="s">
        <v>1134</v>
      </c>
      <c r="CG113" t="s">
        <v>953</v>
      </c>
    </row>
    <row r="114" spans="4:85" x14ac:dyDescent="0.35">
      <c r="D114">
        <v>11</v>
      </c>
      <c r="E114" t="s">
        <v>17</v>
      </c>
      <c r="BL114" s="45"/>
      <c r="BM114" s="45"/>
      <c r="BN114" s="46" t="s">
        <v>307</v>
      </c>
      <c r="BO114" s="46">
        <v>0.55000000000000004</v>
      </c>
      <c r="BP114" s="48" t="s">
        <v>353</v>
      </c>
      <c r="BQ114" s="48">
        <v>0.15</v>
      </c>
      <c r="BR114" s="50" t="s">
        <v>257</v>
      </c>
      <c r="BS114" s="50">
        <v>0.05</v>
      </c>
      <c r="BU114" s="48" t="s">
        <v>358</v>
      </c>
      <c r="BV114" s="48">
        <v>0.05</v>
      </c>
      <c r="BX114" s="107">
        <f t="shared" si="2"/>
        <v>4</v>
      </c>
      <c r="BY114" s="46" t="str">
        <f t="shared" si="3"/>
        <v>4FHP/</v>
      </c>
      <c r="BZ114" s="46">
        <v>0.55000000000000004</v>
      </c>
      <c r="CE114" t="s">
        <v>744</v>
      </c>
      <c r="CF114" t="s">
        <v>1135</v>
      </c>
      <c r="CG114" t="s">
        <v>954</v>
      </c>
    </row>
    <row r="115" spans="4:85" x14ac:dyDescent="0.35">
      <c r="D115">
        <v>11</v>
      </c>
      <c r="E115" t="s">
        <v>550</v>
      </c>
      <c r="BL115" s="45"/>
      <c r="BM115" s="45"/>
      <c r="BN115" s="46" t="s">
        <v>308</v>
      </c>
      <c r="BO115" s="46">
        <v>0.5</v>
      </c>
      <c r="BP115" s="48" t="s">
        <v>355</v>
      </c>
      <c r="BQ115" s="48">
        <v>0.2</v>
      </c>
      <c r="BR115" s="50" t="s">
        <v>1276</v>
      </c>
      <c r="BS115" s="50">
        <v>0.1</v>
      </c>
      <c r="BU115" s="48" t="s">
        <v>360</v>
      </c>
      <c r="BV115" s="48">
        <v>0.1</v>
      </c>
      <c r="BX115" s="107">
        <f t="shared" si="2"/>
        <v>3</v>
      </c>
      <c r="BY115" s="46" t="str">
        <f t="shared" si="3"/>
        <v>3FF*</v>
      </c>
      <c r="BZ115" s="46">
        <v>0.5</v>
      </c>
      <c r="CE115" t="s">
        <v>745</v>
      </c>
      <c r="CF115" t="s">
        <v>1136</v>
      </c>
      <c r="CG115" t="s">
        <v>955</v>
      </c>
    </row>
    <row r="116" spans="4:85" x14ac:dyDescent="0.35">
      <c r="D116">
        <v>11</v>
      </c>
      <c r="E116" t="s">
        <v>572</v>
      </c>
      <c r="BL116" s="45"/>
      <c r="BM116" s="45"/>
      <c r="BN116" s="46" t="s">
        <v>309</v>
      </c>
      <c r="BO116" s="46">
        <v>0.1</v>
      </c>
      <c r="BP116" s="48" t="s">
        <v>357</v>
      </c>
      <c r="BQ116" s="48">
        <v>0.15</v>
      </c>
      <c r="BR116" s="50" t="s">
        <v>258</v>
      </c>
      <c r="BS116" s="50">
        <v>0.1</v>
      </c>
      <c r="BU116" s="48" t="s">
        <v>362</v>
      </c>
      <c r="BV116" s="48">
        <v>0.1</v>
      </c>
      <c r="BX116" s="107">
        <f t="shared" si="2"/>
        <v>3</v>
      </c>
      <c r="BY116" s="46" t="str">
        <f t="shared" si="3"/>
        <v>3AL/</v>
      </c>
      <c r="BZ116" s="46">
        <v>0.1</v>
      </c>
      <c r="CE116" t="s">
        <v>746</v>
      </c>
      <c r="CF116" t="s">
        <v>1137</v>
      </c>
      <c r="CG116" t="s">
        <v>956</v>
      </c>
    </row>
    <row r="117" spans="4:85" x14ac:dyDescent="0.35">
      <c r="D117">
        <v>11</v>
      </c>
      <c r="E117" t="s">
        <v>551</v>
      </c>
      <c r="BL117" s="45"/>
      <c r="BM117" s="45"/>
      <c r="BN117" s="46" t="s">
        <v>310</v>
      </c>
      <c r="BO117" s="46">
        <v>0.4</v>
      </c>
      <c r="BP117" s="48" t="s">
        <v>359</v>
      </c>
      <c r="BQ117" s="48">
        <v>0.25</v>
      </c>
      <c r="BR117" s="50" t="s">
        <v>259</v>
      </c>
      <c r="BS117" s="50">
        <v>0.1</v>
      </c>
      <c r="BU117" s="48" t="s">
        <v>364</v>
      </c>
      <c r="BV117" s="48">
        <v>0.1</v>
      </c>
      <c r="BX117" s="107">
        <f t="shared" si="2"/>
        <v>3</v>
      </c>
      <c r="BY117" s="46" t="str">
        <f t="shared" si="3"/>
        <v>3FP*</v>
      </c>
      <c r="BZ117" s="46">
        <v>0.4</v>
      </c>
      <c r="CE117" t="s">
        <v>747</v>
      </c>
      <c r="CF117" t="s">
        <v>1138</v>
      </c>
      <c r="CG117" t="s">
        <v>957</v>
      </c>
    </row>
    <row r="118" spans="4:85" x14ac:dyDescent="0.35">
      <c r="D118">
        <v>11</v>
      </c>
      <c r="E118" t="s">
        <v>552</v>
      </c>
      <c r="BL118" s="45"/>
      <c r="BM118" s="45"/>
      <c r="BN118" s="46" t="s">
        <v>311</v>
      </c>
      <c r="BO118" s="46">
        <v>0.1</v>
      </c>
      <c r="BP118" s="48" t="s">
        <v>361</v>
      </c>
      <c r="BQ118" s="48">
        <v>0.25</v>
      </c>
      <c r="BR118" s="50" t="s">
        <v>260</v>
      </c>
      <c r="BS118" s="50">
        <v>0.3</v>
      </c>
      <c r="BU118" s="48" t="s">
        <v>366</v>
      </c>
      <c r="BV118" s="48">
        <v>0.05</v>
      </c>
      <c r="BX118" s="107">
        <f t="shared" si="2"/>
        <v>4</v>
      </c>
      <c r="BY118" s="46" t="str">
        <f t="shared" si="3"/>
        <v>4SiF*</v>
      </c>
      <c r="BZ118" s="46">
        <v>0.1</v>
      </c>
      <c r="CE118" t="s">
        <v>748</v>
      </c>
      <c r="CF118" t="s">
        <v>1139</v>
      </c>
      <c r="CG118" t="s">
        <v>958</v>
      </c>
    </row>
    <row r="119" spans="4:85" x14ac:dyDescent="0.35">
      <c r="D119">
        <v>11</v>
      </c>
      <c r="E119" t="s">
        <v>1618</v>
      </c>
      <c r="BL119" s="45"/>
      <c r="BM119" s="45"/>
      <c r="BN119" s="46" t="s">
        <v>312</v>
      </c>
      <c r="BO119" s="46">
        <v>0.1</v>
      </c>
      <c r="BP119" s="48" t="s">
        <v>363</v>
      </c>
      <c r="BQ119" s="48">
        <v>0.25</v>
      </c>
      <c r="BR119" s="50" t="s">
        <v>261</v>
      </c>
      <c r="BS119" s="50">
        <v>0.1</v>
      </c>
      <c r="BU119" s="48" t="s">
        <v>368</v>
      </c>
      <c r="BV119" s="48">
        <v>0.1</v>
      </c>
      <c r="BX119" s="107">
        <f t="shared" si="2"/>
        <v>3</v>
      </c>
      <c r="BY119" s="46" t="str">
        <f t="shared" si="3"/>
        <v>3AP\</v>
      </c>
      <c r="BZ119" s="46">
        <v>0.1</v>
      </c>
      <c r="CE119" t="s">
        <v>749</v>
      </c>
      <c r="CF119" t="s">
        <v>1140</v>
      </c>
      <c r="CG119" t="s">
        <v>959</v>
      </c>
    </row>
    <row r="120" spans="4:85" x14ac:dyDescent="0.35">
      <c r="D120">
        <v>11</v>
      </c>
      <c r="E120" t="str">
        <f>IF('Coach Card'!$T$5="","","Hybrid - Cadence")</f>
        <v/>
      </c>
      <c r="BL120" s="45"/>
      <c r="BM120" s="45"/>
      <c r="BN120" s="46" t="s">
        <v>1285</v>
      </c>
      <c r="BO120" s="46">
        <v>0.15</v>
      </c>
      <c r="BP120" s="48" t="s">
        <v>365</v>
      </c>
      <c r="BQ120" s="48">
        <v>0.3</v>
      </c>
      <c r="BR120" s="50" t="s">
        <v>262</v>
      </c>
      <c r="BS120" s="50">
        <v>0.1</v>
      </c>
      <c r="BU120" s="48" t="s">
        <v>370</v>
      </c>
      <c r="BV120" s="48">
        <v>0.1</v>
      </c>
      <c r="BX120" s="107">
        <f t="shared" si="2"/>
        <v>5</v>
      </c>
      <c r="BY120" s="46" t="str">
        <f t="shared" si="3"/>
        <v>5SF+FB</v>
      </c>
      <c r="BZ120" s="46">
        <v>0.15</v>
      </c>
      <c r="CE120" t="s">
        <v>750</v>
      </c>
      <c r="CF120" t="s">
        <v>1141</v>
      </c>
      <c r="CG120" t="s">
        <v>960</v>
      </c>
    </row>
    <row r="121" spans="4:85" x14ac:dyDescent="0.35">
      <c r="BL121" s="45"/>
      <c r="BM121" s="45"/>
      <c r="BN121" s="46" t="s">
        <v>1286</v>
      </c>
      <c r="BO121" s="46">
        <v>1.5</v>
      </c>
      <c r="BP121" s="48" t="s">
        <v>367</v>
      </c>
      <c r="BQ121" s="48">
        <v>0.3</v>
      </c>
      <c r="BR121" s="50" t="s">
        <v>263</v>
      </c>
      <c r="BS121" s="50">
        <v>0.1</v>
      </c>
      <c r="BU121" s="48" t="s">
        <v>566</v>
      </c>
      <c r="BV121" s="48">
        <v>0.45</v>
      </c>
      <c r="BX121" s="107">
        <f t="shared" si="2"/>
        <v>4</v>
      </c>
      <c r="BY121" s="46" t="str">
        <f t="shared" si="3"/>
        <v>4Px1P</v>
      </c>
      <c r="BZ121" s="46">
        <v>1.5</v>
      </c>
      <c r="CE121" t="s">
        <v>751</v>
      </c>
      <c r="CF121" t="s">
        <v>1142</v>
      </c>
      <c r="CG121" t="s">
        <v>961</v>
      </c>
    </row>
    <row r="122" spans="4:85" x14ac:dyDescent="0.35">
      <c r="BL122" s="45"/>
      <c r="BM122" s="45"/>
      <c r="BN122" s="46" t="s">
        <v>1288</v>
      </c>
      <c r="BO122" s="46">
        <v>0.3</v>
      </c>
      <c r="BP122" s="48" t="s">
        <v>369</v>
      </c>
      <c r="BQ122" s="48">
        <v>0.35</v>
      </c>
      <c r="BR122" s="50" t="s">
        <v>264</v>
      </c>
      <c r="BS122" s="50">
        <v>0.2</v>
      </c>
      <c r="BU122" s="48" t="s">
        <v>372</v>
      </c>
      <c r="BV122" s="48">
        <v>0.05</v>
      </c>
      <c r="BX122" s="107">
        <f t="shared" si="2"/>
        <v>4</v>
      </c>
      <c r="BY122" s="46" t="str">
        <f t="shared" si="3"/>
        <v>4SiF1</v>
      </c>
      <c r="BZ122" s="46">
        <v>0.3</v>
      </c>
      <c r="CE122" t="s">
        <v>752</v>
      </c>
      <c r="CF122" t="s">
        <v>1143</v>
      </c>
      <c r="CG122" t="s">
        <v>962</v>
      </c>
    </row>
    <row r="123" spans="4:85" x14ac:dyDescent="0.35">
      <c r="D123">
        <v>12</v>
      </c>
      <c r="E123" t="s">
        <v>18</v>
      </c>
      <c r="BL123" s="45"/>
      <c r="BM123" s="45"/>
      <c r="BN123" s="46" t="s">
        <v>1397</v>
      </c>
      <c r="BO123" s="46">
        <v>1.8</v>
      </c>
      <c r="BP123" s="48" t="s">
        <v>565</v>
      </c>
      <c r="BQ123" s="48">
        <v>0.6</v>
      </c>
      <c r="BR123" s="50" t="s">
        <v>265</v>
      </c>
      <c r="BS123" s="50">
        <v>0.1</v>
      </c>
      <c r="BU123" s="48" t="s">
        <v>374</v>
      </c>
      <c r="BV123" s="48">
        <v>0.15</v>
      </c>
      <c r="BX123" s="107">
        <f t="shared" si="2"/>
        <v>4</v>
      </c>
      <c r="BY123" s="46" t="str">
        <f t="shared" si="3"/>
        <v>41P1P</v>
      </c>
      <c r="BZ123" s="46"/>
      <c r="CE123" t="s">
        <v>753</v>
      </c>
      <c r="CF123" t="s">
        <v>1144</v>
      </c>
      <c r="CG123" t="s">
        <v>963</v>
      </c>
    </row>
    <row r="124" spans="4:85" x14ac:dyDescent="0.35">
      <c r="D124">
        <v>12</v>
      </c>
      <c r="E124" t="s">
        <v>550</v>
      </c>
      <c r="BL124" s="45"/>
      <c r="BM124" s="45"/>
      <c r="BN124" s="46"/>
      <c r="BO124" s="46"/>
      <c r="BP124" s="48" t="s">
        <v>371</v>
      </c>
      <c r="BQ124" s="48">
        <v>0.2</v>
      </c>
      <c r="BR124" s="50" t="s">
        <v>1275</v>
      </c>
      <c r="BS124" s="50">
        <v>0.1</v>
      </c>
      <c r="BU124" s="48" t="s">
        <v>376</v>
      </c>
      <c r="BV124" s="48">
        <v>0.1</v>
      </c>
      <c r="BX124" s="107"/>
      <c r="BY124" s="46"/>
      <c r="BZ124" s="46"/>
      <c r="CE124" t="s">
        <v>754</v>
      </c>
      <c r="CF124" t="s">
        <v>1145</v>
      </c>
      <c r="CG124" t="s">
        <v>964</v>
      </c>
    </row>
    <row r="125" spans="4:85" x14ac:dyDescent="0.35">
      <c r="D125">
        <v>12</v>
      </c>
      <c r="E125" t="s">
        <v>572</v>
      </c>
      <c r="BL125" s="45"/>
      <c r="BM125" s="45"/>
      <c r="BN125" s="46"/>
      <c r="BO125" s="46"/>
      <c r="BP125" s="48" t="s">
        <v>373</v>
      </c>
      <c r="BQ125" s="48">
        <v>0.25</v>
      </c>
      <c r="BR125" s="50" t="s">
        <v>266</v>
      </c>
      <c r="BS125" s="50">
        <v>0.25</v>
      </c>
      <c r="BU125" s="48" t="s">
        <v>378</v>
      </c>
      <c r="BV125" s="48">
        <v>0.1</v>
      </c>
      <c r="BX125" s="107"/>
      <c r="BY125" s="46"/>
      <c r="BZ125" s="46"/>
      <c r="CE125" t="s">
        <v>755</v>
      </c>
      <c r="CF125" t="s">
        <v>1146</v>
      </c>
      <c r="CG125" t="s">
        <v>965</v>
      </c>
    </row>
    <row r="126" spans="4:85" x14ac:dyDescent="0.35">
      <c r="D126">
        <v>12</v>
      </c>
      <c r="E126" t="s">
        <v>551</v>
      </c>
      <c r="BL126" s="45"/>
      <c r="BM126" s="45"/>
      <c r="BN126" s="46"/>
      <c r="BO126" s="46"/>
      <c r="BP126" s="48" t="s">
        <v>375</v>
      </c>
      <c r="BQ126" s="48">
        <v>0.3</v>
      </c>
      <c r="BR126" s="50" t="s">
        <v>267</v>
      </c>
      <c r="BS126" s="50">
        <v>0.05</v>
      </c>
      <c r="BU126" s="48" t="s">
        <v>1274</v>
      </c>
      <c r="BV126" s="48">
        <v>0.2</v>
      </c>
      <c r="BX126" s="107"/>
      <c r="BY126" s="46"/>
      <c r="BZ126" s="46"/>
      <c r="CE126" t="s">
        <v>756</v>
      </c>
      <c r="CF126" t="s">
        <v>1232</v>
      </c>
      <c r="CG126" t="s">
        <v>966</v>
      </c>
    </row>
    <row r="127" spans="4:85" x14ac:dyDescent="0.35">
      <c r="D127">
        <v>12</v>
      </c>
      <c r="E127" t="s">
        <v>552</v>
      </c>
      <c r="BL127" s="45"/>
      <c r="BM127" s="45"/>
      <c r="BN127" s="46"/>
      <c r="BO127" s="46"/>
      <c r="BP127" s="48" t="s">
        <v>377</v>
      </c>
      <c r="BQ127" s="48">
        <v>0.3</v>
      </c>
      <c r="BR127" s="50" t="s">
        <v>268</v>
      </c>
      <c r="BS127" s="50">
        <v>0.15</v>
      </c>
      <c r="BU127" s="48" t="s">
        <v>380</v>
      </c>
      <c r="BV127" s="48">
        <v>0.15</v>
      </c>
      <c r="BX127" s="107"/>
      <c r="BY127" s="46"/>
      <c r="BZ127" s="46"/>
      <c r="CE127" t="s">
        <v>757</v>
      </c>
      <c r="CF127" t="s">
        <v>1147</v>
      </c>
      <c r="CG127" t="s">
        <v>967</v>
      </c>
    </row>
    <row r="128" spans="4:85" x14ac:dyDescent="0.35">
      <c r="D128">
        <v>12</v>
      </c>
      <c r="E128" t="s">
        <v>1618</v>
      </c>
      <c r="BL128" s="45"/>
      <c r="BM128" s="45"/>
      <c r="BN128" s="46"/>
      <c r="BO128" s="46"/>
      <c r="BP128" s="48" t="s">
        <v>1310</v>
      </c>
      <c r="BQ128" s="48">
        <v>0.35</v>
      </c>
      <c r="BR128" s="50" t="s">
        <v>269</v>
      </c>
      <c r="BS128" s="50">
        <v>0.2</v>
      </c>
      <c r="BU128" s="48" t="s">
        <v>568</v>
      </c>
      <c r="BV128" s="48">
        <v>0.15</v>
      </c>
      <c r="BX128" s="3"/>
      <c r="CE128" t="s">
        <v>758</v>
      </c>
      <c r="CF128" t="s">
        <v>1148</v>
      </c>
      <c r="CG128" t="s">
        <v>968</v>
      </c>
    </row>
    <row r="129" spans="5:85" x14ac:dyDescent="0.35">
      <c r="BL129" s="45"/>
      <c r="BM129" s="45"/>
      <c r="BN129" s="46"/>
      <c r="BO129" s="46"/>
      <c r="BP129" s="48" t="s">
        <v>379</v>
      </c>
      <c r="BQ129" s="48">
        <v>0.35</v>
      </c>
      <c r="BR129" s="50" t="s">
        <v>1287</v>
      </c>
      <c r="BS129" s="50">
        <v>0.95</v>
      </c>
      <c r="BU129" s="48" t="s">
        <v>382</v>
      </c>
      <c r="BV129" s="48">
        <v>0.2</v>
      </c>
      <c r="CE129" t="s">
        <v>759</v>
      </c>
      <c r="CF129" t="s">
        <v>1149</v>
      </c>
      <c r="CG129" t="s">
        <v>969</v>
      </c>
    </row>
    <row r="130" spans="5:85" x14ac:dyDescent="0.35">
      <c r="BL130" s="45"/>
      <c r="BM130" s="45"/>
      <c r="BN130" s="46"/>
      <c r="BO130" s="46"/>
      <c r="BP130" s="48" t="s">
        <v>567</v>
      </c>
      <c r="BQ130" s="48">
        <v>0.4</v>
      </c>
      <c r="BR130" s="50" t="s">
        <v>1290</v>
      </c>
      <c r="BS130" s="50">
        <v>0.2</v>
      </c>
      <c r="BU130" s="48" t="s">
        <v>384</v>
      </c>
      <c r="BV130" s="48">
        <v>0.15</v>
      </c>
      <c r="CE130" t="s">
        <v>760</v>
      </c>
      <c r="CF130" t="s">
        <v>1150</v>
      </c>
      <c r="CG130" t="s">
        <v>970</v>
      </c>
    </row>
    <row r="131" spans="5:85" x14ac:dyDescent="0.35">
      <c r="BL131" s="45"/>
      <c r="BM131" s="45"/>
      <c r="BN131" s="46"/>
      <c r="BO131" s="46"/>
      <c r="BP131" s="48" t="s">
        <v>381</v>
      </c>
      <c r="BQ131" s="48">
        <v>0.4</v>
      </c>
      <c r="BR131" s="50"/>
      <c r="BS131" s="50"/>
      <c r="BU131" s="48" t="s">
        <v>386</v>
      </c>
      <c r="BV131" s="48">
        <v>0.2</v>
      </c>
      <c r="CE131" t="s">
        <v>761</v>
      </c>
      <c r="CF131" t="s">
        <v>1151</v>
      </c>
      <c r="CG131" t="s">
        <v>971</v>
      </c>
    </row>
    <row r="132" spans="5:85" x14ac:dyDescent="0.35">
      <c r="BL132" s="45"/>
      <c r="BM132" s="45"/>
      <c r="BN132" s="46"/>
      <c r="BO132" s="46"/>
      <c r="BP132" s="48" t="s">
        <v>383</v>
      </c>
      <c r="BQ132" s="48">
        <v>0.45</v>
      </c>
      <c r="BR132" s="50"/>
      <c r="BS132" s="50"/>
      <c r="BU132" s="48" t="s">
        <v>388</v>
      </c>
      <c r="BV132" s="48">
        <v>0.2</v>
      </c>
      <c r="CE132" t="s">
        <v>762</v>
      </c>
      <c r="CF132" t="s">
        <v>1152</v>
      </c>
      <c r="CG132" t="s">
        <v>972</v>
      </c>
    </row>
    <row r="133" spans="5:85" x14ac:dyDescent="0.35">
      <c r="BL133" s="45"/>
      <c r="BM133" s="45"/>
      <c r="BN133" s="46"/>
      <c r="BO133" s="46"/>
      <c r="BP133" s="48" t="s">
        <v>385</v>
      </c>
      <c r="BQ133" s="48">
        <v>0.45</v>
      </c>
      <c r="BR133" s="50"/>
      <c r="BS133" s="50"/>
      <c r="BU133" s="48" t="s">
        <v>390</v>
      </c>
      <c r="BV133" s="48">
        <v>0.3</v>
      </c>
      <c r="CE133" t="s">
        <v>763</v>
      </c>
      <c r="CF133" t="s">
        <v>1153</v>
      </c>
      <c r="CG133" t="s">
        <v>973</v>
      </c>
    </row>
    <row r="134" spans="5:85" x14ac:dyDescent="0.35">
      <c r="BL134" s="45"/>
      <c r="BM134" s="45"/>
      <c r="BN134" s="46"/>
      <c r="BO134" s="46"/>
      <c r="BP134" s="48" t="s">
        <v>387</v>
      </c>
      <c r="BQ134" s="48">
        <v>0.45</v>
      </c>
      <c r="BR134" s="50"/>
      <c r="BS134" s="50"/>
      <c r="BU134" s="48" t="s">
        <v>392</v>
      </c>
      <c r="BV134" s="48">
        <v>0.5</v>
      </c>
      <c r="CE134" t="s">
        <v>764</v>
      </c>
      <c r="CF134" t="s">
        <v>1154</v>
      </c>
      <c r="CG134" t="s">
        <v>974</v>
      </c>
    </row>
    <row r="135" spans="5:85" x14ac:dyDescent="0.35">
      <c r="BL135" s="45"/>
      <c r="BM135" s="45"/>
      <c r="BN135" s="46"/>
      <c r="BO135" s="46"/>
      <c r="BP135" s="48" t="s">
        <v>389</v>
      </c>
      <c r="BQ135" s="48">
        <v>0.6</v>
      </c>
      <c r="BR135" s="50"/>
      <c r="BS135" s="50"/>
      <c r="BU135" s="48"/>
      <c r="BV135" s="48"/>
      <c r="CE135" t="s">
        <v>765</v>
      </c>
      <c r="CF135" t="s">
        <v>1155</v>
      </c>
      <c r="CG135" t="s">
        <v>975</v>
      </c>
    </row>
    <row r="136" spans="5:85" x14ac:dyDescent="0.35">
      <c r="BL136" s="45"/>
      <c r="BM136" s="45"/>
      <c r="BN136" s="46"/>
      <c r="BO136" s="46"/>
      <c r="BP136" s="48" t="s">
        <v>391</v>
      </c>
      <c r="BQ136" s="48">
        <v>1</v>
      </c>
      <c r="BR136" s="50"/>
      <c r="BS136" s="50"/>
      <c r="BU136" s="48"/>
      <c r="BV136" s="48"/>
      <c r="CE136" t="s">
        <v>766</v>
      </c>
      <c r="CF136" t="s">
        <v>1156</v>
      </c>
      <c r="CG136" t="s">
        <v>976</v>
      </c>
    </row>
    <row r="137" spans="5:85" x14ac:dyDescent="0.35">
      <c r="BK137" s="8">
        <v>5</v>
      </c>
      <c r="BL137" s="45"/>
      <c r="BM137" s="45"/>
      <c r="BN137" s="46" t="s">
        <v>313</v>
      </c>
      <c r="BO137" s="46">
        <v>0.1</v>
      </c>
      <c r="BP137" s="48"/>
      <c r="BQ137" s="48"/>
      <c r="BR137" s="50" t="s">
        <v>313</v>
      </c>
      <c r="BS137" s="50">
        <v>0.1</v>
      </c>
      <c r="BU137" s="48"/>
      <c r="BV137" s="48"/>
      <c r="CE137" t="s">
        <v>767</v>
      </c>
      <c r="CF137" t="s">
        <v>1157</v>
      </c>
      <c r="CG137" t="s">
        <v>977</v>
      </c>
    </row>
    <row r="138" spans="5:85" x14ac:dyDescent="0.35">
      <c r="BL138" s="45"/>
      <c r="BM138" s="45"/>
      <c r="BN138" s="46" t="s">
        <v>314</v>
      </c>
      <c r="BO138" s="46">
        <v>0.15</v>
      </c>
      <c r="BP138" s="48" t="s">
        <v>1401</v>
      </c>
      <c r="BQ138" s="48">
        <v>0.05</v>
      </c>
      <c r="BR138" s="50" t="s">
        <v>314</v>
      </c>
      <c r="BS138" s="50">
        <v>0.15</v>
      </c>
      <c r="BU138" s="48"/>
      <c r="BV138" s="48"/>
      <c r="CE138" t="s">
        <v>768</v>
      </c>
      <c r="CF138" t="s">
        <v>1158</v>
      </c>
      <c r="CG138" t="s">
        <v>978</v>
      </c>
    </row>
    <row r="139" spans="5:85" x14ac:dyDescent="0.35">
      <c r="BL139" s="45"/>
      <c r="BM139" s="45"/>
      <c r="BN139" s="46" t="s">
        <v>316</v>
      </c>
      <c r="BO139" s="46">
        <v>0.2</v>
      </c>
      <c r="BP139" s="48" t="s">
        <v>1402</v>
      </c>
      <c r="BQ139" s="48">
        <v>0.1</v>
      </c>
      <c r="BR139" s="50" t="s">
        <v>316</v>
      </c>
      <c r="BS139" s="50">
        <v>0.2</v>
      </c>
      <c r="BU139" s="48"/>
      <c r="BV139" s="48"/>
      <c r="CE139" t="s">
        <v>769</v>
      </c>
      <c r="CF139" t="s">
        <v>1159</v>
      </c>
      <c r="CG139" t="s">
        <v>979</v>
      </c>
    </row>
    <row r="140" spans="5:85" x14ac:dyDescent="0.35">
      <c r="E140" t="s">
        <v>1619</v>
      </c>
      <c r="BL140" s="45"/>
      <c r="BM140" s="45"/>
      <c r="BN140" s="46" t="s">
        <v>318</v>
      </c>
      <c r="BO140" s="46">
        <v>0.25</v>
      </c>
      <c r="BP140" s="48" t="s">
        <v>1403</v>
      </c>
      <c r="BQ140" s="48">
        <v>0.05</v>
      </c>
      <c r="BR140" s="50" t="s">
        <v>318</v>
      </c>
      <c r="BS140" s="50">
        <v>0.25</v>
      </c>
      <c r="BU140" s="48"/>
      <c r="BV140" s="48"/>
      <c r="CE140" t="s">
        <v>770</v>
      </c>
      <c r="CF140" t="s">
        <v>1251</v>
      </c>
      <c r="CG140" t="s">
        <v>980</v>
      </c>
    </row>
    <row r="141" spans="5:85" x14ac:dyDescent="0.35">
      <c r="E141" t="s">
        <v>550</v>
      </c>
      <c r="BL141" s="45"/>
      <c r="BM141" s="45"/>
      <c r="BN141" s="46" t="s">
        <v>319</v>
      </c>
      <c r="BO141" s="46">
        <v>0.45</v>
      </c>
      <c r="BP141" s="48" t="s">
        <v>1404</v>
      </c>
      <c r="BQ141" s="48">
        <v>0.1</v>
      </c>
      <c r="BR141" s="50" t="s">
        <v>319</v>
      </c>
      <c r="BS141" s="50">
        <v>0.45</v>
      </c>
      <c r="BU141" s="48"/>
      <c r="BV141" s="48"/>
      <c r="CE141" t="s">
        <v>771</v>
      </c>
      <c r="CF141" t="s">
        <v>1160</v>
      </c>
      <c r="CG141" t="s">
        <v>981</v>
      </c>
    </row>
    <row r="142" spans="5:85" x14ac:dyDescent="0.35">
      <c r="E142" t="s">
        <v>572</v>
      </c>
      <c r="BL142" s="45"/>
      <c r="BM142" s="45"/>
      <c r="BN142" s="46" t="s">
        <v>322</v>
      </c>
      <c r="BO142" s="46">
        <v>0.4</v>
      </c>
      <c r="BP142" s="48" t="s">
        <v>1405</v>
      </c>
      <c r="BQ142" s="48">
        <v>0.15</v>
      </c>
      <c r="BR142" s="50" t="s">
        <v>322</v>
      </c>
      <c r="BS142" s="50">
        <v>0.4</v>
      </c>
      <c r="BU142" s="48"/>
      <c r="BV142" s="48"/>
      <c r="CE142" t="s">
        <v>772</v>
      </c>
      <c r="CF142" t="s">
        <v>1161</v>
      </c>
      <c r="CG142" t="s">
        <v>982</v>
      </c>
    </row>
    <row r="143" spans="5:85" x14ac:dyDescent="0.35">
      <c r="E143" t="s">
        <v>551</v>
      </c>
      <c r="BL143" s="45"/>
      <c r="BM143" s="45"/>
      <c r="BN143" s="46" t="s">
        <v>324</v>
      </c>
      <c r="BO143" s="46">
        <v>0.5</v>
      </c>
      <c r="BP143" s="48" t="s">
        <v>1406</v>
      </c>
      <c r="BQ143" s="48">
        <v>0.15</v>
      </c>
      <c r="BR143" s="50" t="s">
        <v>324</v>
      </c>
      <c r="BS143" s="50">
        <v>0.5</v>
      </c>
      <c r="CE143" t="s">
        <v>773</v>
      </c>
      <c r="CF143" t="s">
        <v>1162</v>
      </c>
      <c r="CG143" t="s">
        <v>983</v>
      </c>
    </row>
    <row r="144" spans="5:85" x14ac:dyDescent="0.35">
      <c r="E144" t="s">
        <v>552</v>
      </c>
      <c r="BL144" s="45"/>
      <c r="BM144" s="45"/>
      <c r="BN144" s="47" t="s">
        <v>326</v>
      </c>
      <c r="BO144" s="46">
        <v>0.25</v>
      </c>
      <c r="BP144" s="48" t="s">
        <v>1407</v>
      </c>
      <c r="BQ144" s="48">
        <v>0.2</v>
      </c>
      <c r="BR144" s="50" t="s">
        <v>326</v>
      </c>
      <c r="BS144" s="50">
        <v>0.25</v>
      </c>
      <c r="CE144" t="s">
        <v>774</v>
      </c>
      <c r="CF144" t="s">
        <v>1233</v>
      </c>
      <c r="CG144" t="s">
        <v>984</v>
      </c>
    </row>
    <row r="145" spans="5:85" x14ac:dyDescent="0.35">
      <c r="E145" t="s">
        <v>1618</v>
      </c>
      <c r="BL145" s="45"/>
      <c r="BM145" s="45"/>
      <c r="BN145" s="46" t="s">
        <v>328</v>
      </c>
      <c r="BO145" s="46">
        <v>0.35</v>
      </c>
      <c r="BP145" s="48" t="s">
        <v>1408</v>
      </c>
      <c r="BQ145" s="48">
        <v>0.05</v>
      </c>
      <c r="BR145" s="50" t="s">
        <v>328</v>
      </c>
      <c r="BS145" s="50">
        <v>0.35</v>
      </c>
      <c r="CE145" t="s">
        <v>775</v>
      </c>
      <c r="CF145" t="s">
        <v>1234</v>
      </c>
      <c r="CG145" t="s">
        <v>985</v>
      </c>
    </row>
    <row r="146" spans="5:85" x14ac:dyDescent="0.35">
      <c r="E146" t="s">
        <v>1623</v>
      </c>
      <c r="BL146" s="45"/>
      <c r="BM146" s="45"/>
      <c r="BN146" s="46" t="s">
        <v>330</v>
      </c>
      <c r="BO146" s="46">
        <v>0.45</v>
      </c>
      <c r="BP146" s="48" t="s">
        <v>1409</v>
      </c>
      <c r="BQ146" s="48">
        <v>0.1</v>
      </c>
      <c r="BR146" s="50" t="s">
        <v>330</v>
      </c>
      <c r="BS146" s="50">
        <v>0.45</v>
      </c>
      <c r="CE146" t="s">
        <v>776</v>
      </c>
      <c r="CF146" t="s">
        <v>1163</v>
      </c>
      <c r="CG146" t="s">
        <v>986</v>
      </c>
    </row>
    <row r="147" spans="5:85" x14ac:dyDescent="0.35">
      <c r="E147" t="s">
        <v>554</v>
      </c>
      <c r="BL147" s="45"/>
      <c r="BM147" s="45"/>
      <c r="BN147" s="46" t="s">
        <v>332</v>
      </c>
      <c r="BO147" s="46">
        <v>0.55000000000000004</v>
      </c>
      <c r="BP147" s="48" t="s">
        <v>1410</v>
      </c>
      <c r="BQ147" s="48">
        <v>0.1</v>
      </c>
      <c r="BR147" s="50" t="s">
        <v>332</v>
      </c>
      <c r="BS147" s="50">
        <v>0.55000000000000004</v>
      </c>
      <c r="CE147" t="s">
        <v>777</v>
      </c>
      <c r="CF147" t="s">
        <v>1164</v>
      </c>
      <c r="CG147" t="s">
        <v>987</v>
      </c>
    </row>
    <row r="148" spans="5:85" x14ac:dyDescent="0.35">
      <c r="E148" t="s">
        <v>553</v>
      </c>
      <c r="BL148" s="45"/>
      <c r="BM148" s="45"/>
      <c r="BN148" s="46" t="s">
        <v>334</v>
      </c>
      <c r="BO148" s="46">
        <v>0.65</v>
      </c>
      <c r="BP148" s="48" t="s">
        <v>1411</v>
      </c>
      <c r="BQ148" s="48">
        <v>0.3</v>
      </c>
      <c r="BR148" s="50" t="s">
        <v>334</v>
      </c>
      <c r="BS148" s="50">
        <v>0.65</v>
      </c>
      <c r="CE148" t="s">
        <v>778</v>
      </c>
      <c r="CF148" t="s">
        <v>1165</v>
      </c>
      <c r="CG148" t="s">
        <v>988</v>
      </c>
    </row>
    <row r="149" spans="5:85" x14ac:dyDescent="0.35">
      <c r="E149" t="s">
        <v>1621</v>
      </c>
      <c r="BL149" s="45"/>
      <c r="BM149" s="45"/>
      <c r="BN149" s="46" t="s">
        <v>336</v>
      </c>
      <c r="BO149" s="46">
        <v>0.1</v>
      </c>
      <c r="BP149" s="48" t="s">
        <v>1412</v>
      </c>
      <c r="BQ149" s="48">
        <v>0.1</v>
      </c>
      <c r="BR149" s="50" t="s">
        <v>336</v>
      </c>
      <c r="BS149" s="50">
        <v>0.1</v>
      </c>
      <c r="CE149" t="s">
        <v>779</v>
      </c>
      <c r="CF149" t="s">
        <v>1166</v>
      </c>
      <c r="CG149" t="s">
        <v>989</v>
      </c>
    </row>
    <row r="150" spans="5:85" x14ac:dyDescent="0.35">
      <c r="E150" t="s">
        <v>2510</v>
      </c>
      <c r="BL150" s="45"/>
      <c r="BM150" s="45"/>
      <c r="BN150" s="46" t="s">
        <v>338</v>
      </c>
      <c r="BO150" s="46">
        <v>0.15</v>
      </c>
      <c r="BP150" s="48" t="s">
        <v>1413</v>
      </c>
      <c r="BQ150" s="48">
        <v>0.1</v>
      </c>
      <c r="BR150" s="50" t="s">
        <v>338</v>
      </c>
      <c r="BS150" s="50">
        <v>0.15</v>
      </c>
      <c r="CE150" t="s">
        <v>780</v>
      </c>
      <c r="CF150" t="s">
        <v>1167</v>
      </c>
      <c r="CG150" t="s">
        <v>990</v>
      </c>
    </row>
    <row r="151" spans="5:85" x14ac:dyDescent="0.35">
      <c r="E151" t="s">
        <v>17</v>
      </c>
      <c r="BL151" s="45"/>
      <c r="BM151" s="45"/>
      <c r="BN151" s="46" t="s">
        <v>340</v>
      </c>
      <c r="BO151" s="46">
        <v>0.05</v>
      </c>
      <c r="BP151" s="48" t="s">
        <v>1414</v>
      </c>
      <c r="BQ151" s="48">
        <v>0.15</v>
      </c>
      <c r="BR151" s="50" t="s">
        <v>340</v>
      </c>
      <c r="BS151" s="50">
        <v>0.05</v>
      </c>
      <c r="CE151" t="s">
        <v>781</v>
      </c>
      <c r="CF151" t="s">
        <v>1168</v>
      </c>
      <c r="CG151" t="s">
        <v>991</v>
      </c>
    </row>
    <row r="152" spans="5:85" x14ac:dyDescent="0.35">
      <c r="E152" t="s">
        <v>18</v>
      </c>
      <c r="BL152" s="45"/>
      <c r="BM152" s="45"/>
      <c r="BN152" s="46" t="s">
        <v>342</v>
      </c>
      <c r="BO152" s="46">
        <v>0.1</v>
      </c>
      <c r="BP152" s="48" t="s">
        <v>1415</v>
      </c>
      <c r="BQ152" s="48">
        <v>0.2</v>
      </c>
      <c r="BR152" s="50" t="s">
        <v>342</v>
      </c>
      <c r="BS152" s="50">
        <v>0.1</v>
      </c>
      <c r="CE152" t="s">
        <v>782</v>
      </c>
      <c r="CF152" t="s">
        <v>1235</v>
      </c>
      <c r="CG152" t="s">
        <v>992</v>
      </c>
    </row>
    <row r="153" spans="5:85" x14ac:dyDescent="0.35">
      <c r="E153" t="s">
        <v>1620</v>
      </c>
      <c r="BL153" s="45"/>
      <c r="BM153" s="45"/>
      <c r="BN153" s="46" t="s">
        <v>344</v>
      </c>
      <c r="BO153" s="46">
        <v>0.2</v>
      </c>
      <c r="BP153" s="48" t="s">
        <v>1416</v>
      </c>
      <c r="BQ153" s="48">
        <v>0.25</v>
      </c>
      <c r="BR153" s="50" t="s">
        <v>344</v>
      </c>
      <c r="BS153" s="50">
        <v>0.2</v>
      </c>
      <c r="CE153" t="s">
        <v>783</v>
      </c>
      <c r="CF153" t="s">
        <v>1169</v>
      </c>
      <c r="CG153" t="s">
        <v>993</v>
      </c>
    </row>
    <row r="154" spans="5:85" x14ac:dyDescent="0.35">
      <c r="BL154" s="45"/>
      <c r="BM154" s="45"/>
      <c r="BN154" s="46" t="s">
        <v>346</v>
      </c>
      <c r="BO154" s="46">
        <v>0.2</v>
      </c>
      <c r="BP154" s="48" t="s">
        <v>1417</v>
      </c>
      <c r="BQ154" s="48">
        <v>0.1</v>
      </c>
      <c r="BR154" s="50" t="s">
        <v>346</v>
      </c>
      <c r="BS154" s="50">
        <v>0.2</v>
      </c>
      <c r="CE154" t="s">
        <v>784</v>
      </c>
      <c r="CF154" t="s">
        <v>1170</v>
      </c>
      <c r="CG154" t="s">
        <v>994</v>
      </c>
    </row>
    <row r="155" spans="5:85" x14ac:dyDescent="0.35">
      <c r="BL155" s="45"/>
      <c r="BM155" s="45"/>
      <c r="BN155" s="46" t="s">
        <v>347</v>
      </c>
      <c r="BO155" s="46">
        <v>0.2</v>
      </c>
      <c r="BP155" s="48" t="s">
        <v>1418</v>
      </c>
      <c r="BQ155" s="48">
        <v>0.15</v>
      </c>
      <c r="BR155" s="50" t="s">
        <v>347</v>
      </c>
      <c r="BS155" s="50">
        <v>0.2</v>
      </c>
      <c r="CE155" t="s">
        <v>785</v>
      </c>
      <c r="CF155" t="s">
        <v>1171</v>
      </c>
      <c r="CG155" t="s">
        <v>995</v>
      </c>
    </row>
    <row r="156" spans="5:85" x14ac:dyDescent="0.35">
      <c r="BL156" s="45"/>
      <c r="BM156" s="45"/>
      <c r="BN156" s="46" t="s">
        <v>349</v>
      </c>
      <c r="BO156" s="46">
        <v>0.3</v>
      </c>
      <c r="BP156" s="48" t="s">
        <v>1419</v>
      </c>
      <c r="BQ156" s="48">
        <v>0.2</v>
      </c>
      <c r="BR156" s="50" t="s">
        <v>349</v>
      </c>
      <c r="BS156" s="50">
        <v>0.3</v>
      </c>
      <c r="CE156" t="s">
        <v>786</v>
      </c>
      <c r="CF156" t="s">
        <v>1172</v>
      </c>
      <c r="CG156" t="s">
        <v>996</v>
      </c>
    </row>
    <row r="157" spans="5:85" x14ac:dyDescent="0.35">
      <c r="BL157" s="45"/>
      <c r="BM157" s="45"/>
      <c r="BN157" s="46" t="s">
        <v>351</v>
      </c>
      <c r="BO157" s="46">
        <v>0.15</v>
      </c>
      <c r="BP157" s="48" t="s">
        <v>1420</v>
      </c>
      <c r="BQ157" s="48">
        <v>0.25</v>
      </c>
      <c r="BR157" s="50" t="s">
        <v>351</v>
      </c>
      <c r="BS157" s="50">
        <v>0.15</v>
      </c>
      <c r="CE157" t="s">
        <v>787</v>
      </c>
      <c r="CF157" t="s">
        <v>1173</v>
      </c>
      <c r="CG157" t="s">
        <v>997</v>
      </c>
    </row>
    <row r="158" spans="5:85" x14ac:dyDescent="0.35">
      <c r="BL158" s="45"/>
      <c r="BM158" s="45"/>
      <c r="BN158" s="46" t="s">
        <v>353</v>
      </c>
      <c r="BO158" s="46">
        <v>0.15</v>
      </c>
      <c r="BP158" s="48" t="s">
        <v>1421</v>
      </c>
      <c r="BQ158" s="48">
        <v>0.45</v>
      </c>
      <c r="BR158" s="50" t="s">
        <v>353</v>
      </c>
      <c r="BS158" s="50">
        <v>0.15</v>
      </c>
      <c r="CE158" t="s">
        <v>788</v>
      </c>
      <c r="CF158" t="s">
        <v>1252</v>
      </c>
      <c r="CG158" t="s">
        <v>998</v>
      </c>
    </row>
    <row r="159" spans="5:85" x14ac:dyDescent="0.35">
      <c r="BL159" s="45"/>
      <c r="BM159" s="45"/>
      <c r="BN159" s="46" t="s">
        <v>355</v>
      </c>
      <c r="BO159" s="46">
        <v>0.2</v>
      </c>
      <c r="BP159" s="48" t="s">
        <v>1422</v>
      </c>
      <c r="BQ159" s="48">
        <v>0.4</v>
      </c>
      <c r="BR159" s="50" t="s">
        <v>355</v>
      </c>
      <c r="BS159" s="50">
        <v>0.2</v>
      </c>
      <c r="CE159" t="s">
        <v>789</v>
      </c>
      <c r="CF159" t="s">
        <v>1174</v>
      </c>
      <c r="CG159" t="s">
        <v>999</v>
      </c>
    </row>
    <row r="160" spans="5:85" x14ac:dyDescent="0.35">
      <c r="BL160" s="45"/>
      <c r="BM160" s="45"/>
      <c r="BN160" s="46" t="s">
        <v>357</v>
      </c>
      <c r="BO160" s="46">
        <v>0.15</v>
      </c>
      <c r="BP160" s="48" t="s">
        <v>1423</v>
      </c>
      <c r="BQ160" s="48">
        <v>0.5</v>
      </c>
      <c r="BR160" s="50" t="s">
        <v>357</v>
      </c>
      <c r="BS160" s="50">
        <v>0.15</v>
      </c>
      <c r="CE160" t="s">
        <v>790</v>
      </c>
      <c r="CF160" t="s">
        <v>1175</v>
      </c>
      <c r="CG160" t="s">
        <v>1000</v>
      </c>
    </row>
    <row r="161" spans="64:85" x14ac:dyDescent="0.35">
      <c r="BL161" s="45"/>
      <c r="BM161" s="45"/>
      <c r="BN161" s="46" t="s">
        <v>359</v>
      </c>
      <c r="BO161" s="46">
        <v>0.25</v>
      </c>
      <c r="BP161" s="48" t="s">
        <v>1424</v>
      </c>
      <c r="BQ161" s="48">
        <v>0.25</v>
      </c>
      <c r="BR161" s="50" t="s">
        <v>359</v>
      </c>
      <c r="BS161" s="50">
        <v>0.25</v>
      </c>
      <c r="CE161" t="s">
        <v>791</v>
      </c>
      <c r="CF161" t="s">
        <v>1176</v>
      </c>
      <c r="CG161" t="s">
        <v>1001</v>
      </c>
    </row>
    <row r="162" spans="64:85" x14ac:dyDescent="0.35">
      <c r="BL162" s="45"/>
      <c r="BM162" s="45"/>
      <c r="BN162" s="46" t="s">
        <v>361</v>
      </c>
      <c r="BO162" s="46">
        <v>0.25</v>
      </c>
      <c r="BP162" s="48" t="s">
        <v>1425</v>
      </c>
      <c r="BQ162" s="48">
        <v>0.35</v>
      </c>
      <c r="BR162" s="50" t="s">
        <v>361</v>
      </c>
      <c r="BS162" s="50">
        <v>0.25</v>
      </c>
      <c r="CE162" t="s">
        <v>792</v>
      </c>
      <c r="CF162" t="s">
        <v>1177</v>
      </c>
      <c r="CG162" t="s">
        <v>1002</v>
      </c>
    </row>
    <row r="163" spans="64:85" x14ac:dyDescent="0.35">
      <c r="BL163" s="45"/>
      <c r="BM163" s="45"/>
      <c r="BN163" s="46" t="s">
        <v>363</v>
      </c>
      <c r="BO163" s="46">
        <v>0.25</v>
      </c>
      <c r="BP163" s="48" t="s">
        <v>1426</v>
      </c>
      <c r="BQ163" s="48">
        <v>0.45</v>
      </c>
      <c r="BR163" s="50" t="s">
        <v>363</v>
      </c>
      <c r="BS163" s="50">
        <v>0.25</v>
      </c>
      <c r="CE163" t="s">
        <v>793</v>
      </c>
      <c r="CF163" t="s">
        <v>1253</v>
      </c>
      <c r="CG163" t="s">
        <v>1003</v>
      </c>
    </row>
    <row r="164" spans="64:85" x14ac:dyDescent="0.35">
      <c r="BL164" s="45"/>
      <c r="BM164" s="45"/>
      <c r="BN164" s="46" t="s">
        <v>365</v>
      </c>
      <c r="BO164" s="46">
        <v>0.3</v>
      </c>
      <c r="BP164" s="48" t="s">
        <v>1427</v>
      </c>
      <c r="BQ164" s="48">
        <v>0.55000000000000004</v>
      </c>
      <c r="BR164" s="50" t="s">
        <v>365</v>
      </c>
      <c r="BS164" s="50">
        <v>0.3</v>
      </c>
      <c r="CE164" t="s">
        <v>794</v>
      </c>
      <c r="CF164" t="s">
        <v>1178</v>
      </c>
      <c r="CG164" t="s">
        <v>1004</v>
      </c>
    </row>
    <row r="165" spans="64:85" x14ac:dyDescent="0.35">
      <c r="BL165" s="45"/>
      <c r="BM165" s="45"/>
      <c r="BN165" s="46" t="s">
        <v>367</v>
      </c>
      <c r="BO165" s="46">
        <v>0.3</v>
      </c>
      <c r="BP165" s="48" t="s">
        <v>1428</v>
      </c>
      <c r="BQ165" s="48">
        <v>0.65</v>
      </c>
      <c r="BR165" s="50" t="s">
        <v>367</v>
      </c>
      <c r="BS165" s="50">
        <v>0.3</v>
      </c>
      <c r="CE165" t="s">
        <v>795</v>
      </c>
      <c r="CF165" t="s">
        <v>1236</v>
      </c>
      <c r="CG165" t="s">
        <v>1005</v>
      </c>
    </row>
    <row r="166" spans="64:85" x14ac:dyDescent="0.35">
      <c r="BL166" s="45"/>
      <c r="BM166" s="45"/>
      <c r="BN166" s="46" t="s">
        <v>369</v>
      </c>
      <c r="BO166" s="46">
        <v>0.35</v>
      </c>
      <c r="BP166" s="48" t="s">
        <v>1429</v>
      </c>
      <c r="BQ166" s="48">
        <v>0.1</v>
      </c>
      <c r="BR166" s="50" t="s">
        <v>369</v>
      </c>
      <c r="BS166" s="50">
        <v>0.35</v>
      </c>
      <c r="CE166" t="s">
        <v>796</v>
      </c>
      <c r="CF166" t="s">
        <v>1237</v>
      </c>
      <c r="CG166" t="s">
        <v>1006</v>
      </c>
    </row>
    <row r="167" spans="64:85" x14ac:dyDescent="0.35">
      <c r="BL167" s="45"/>
      <c r="BM167" s="45"/>
      <c r="BN167" s="46" t="s">
        <v>565</v>
      </c>
      <c r="BO167" s="46">
        <v>0.6</v>
      </c>
      <c r="BP167" s="48" t="s">
        <v>1430</v>
      </c>
      <c r="BQ167" s="48">
        <v>0.15</v>
      </c>
      <c r="BR167" s="50" t="s">
        <v>565</v>
      </c>
      <c r="BS167" s="50">
        <v>0.6</v>
      </c>
      <c r="CE167" t="s">
        <v>797</v>
      </c>
      <c r="CF167" t="s">
        <v>1179</v>
      </c>
      <c r="CG167" t="s">
        <v>1007</v>
      </c>
    </row>
    <row r="168" spans="64:85" x14ac:dyDescent="0.35">
      <c r="BL168" s="45"/>
      <c r="BM168" s="45"/>
      <c r="BN168" s="46" t="s">
        <v>371</v>
      </c>
      <c r="BO168" s="46">
        <v>0.2</v>
      </c>
      <c r="BP168" s="48" t="s">
        <v>1431</v>
      </c>
      <c r="BQ168" s="48">
        <v>0.05</v>
      </c>
      <c r="BR168" s="50" t="s">
        <v>371</v>
      </c>
      <c r="BS168" s="50">
        <v>0.2</v>
      </c>
      <c r="CE168" t="s">
        <v>798</v>
      </c>
      <c r="CF168" t="s">
        <v>1180</v>
      </c>
      <c r="CG168" t="s">
        <v>1008</v>
      </c>
    </row>
    <row r="169" spans="64:85" x14ac:dyDescent="0.35">
      <c r="BL169" s="45"/>
      <c r="BM169" s="45"/>
      <c r="BN169" s="46" t="s">
        <v>373</v>
      </c>
      <c r="BO169" s="46">
        <v>0.25</v>
      </c>
      <c r="BP169" s="48" t="s">
        <v>1432</v>
      </c>
      <c r="BQ169" s="48">
        <v>0.1</v>
      </c>
      <c r="BR169" s="50" t="s">
        <v>373</v>
      </c>
      <c r="BS169" s="50">
        <v>0.25</v>
      </c>
      <c r="CE169" t="s">
        <v>799</v>
      </c>
      <c r="CF169" t="s">
        <v>1181</v>
      </c>
      <c r="CG169" t="s">
        <v>1009</v>
      </c>
    </row>
    <row r="170" spans="64:85" x14ac:dyDescent="0.35">
      <c r="BL170" s="45"/>
      <c r="BM170" s="45"/>
      <c r="BN170" s="46" t="s">
        <v>375</v>
      </c>
      <c r="BO170" s="46">
        <v>0.3</v>
      </c>
      <c r="BP170" s="48" t="s">
        <v>1433</v>
      </c>
      <c r="BQ170" s="48">
        <v>0.2</v>
      </c>
      <c r="BR170" s="50" t="s">
        <v>375</v>
      </c>
      <c r="BS170" s="50">
        <v>0.3</v>
      </c>
      <c r="CE170" t="s">
        <v>800</v>
      </c>
      <c r="CF170" t="s">
        <v>1238</v>
      </c>
      <c r="CG170" t="s">
        <v>1010</v>
      </c>
    </row>
    <row r="171" spans="64:85" x14ac:dyDescent="0.35">
      <c r="BL171" s="45"/>
      <c r="BM171" s="45"/>
      <c r="BN171" s="46" t="s">
        <v>377</v>
      </c>
      <c r="BO171" s="46">
        <v>0.3</v>
      </c>
      <c r="BP171" s="48" t="s">
        <v>1434</v>
      </c>
      <c r="BQ171" s="48">
        <v>0.2</v>
      </c>
      <c r="BR171" s="50" t="s">
        <v>377</v>
      </c>
      <c r="BS171" s="50">
        <v>0.3</v>
      </c>
      <c r="CE171" t="s">
        <v>801</v>
      </c>
      <c r="CF171" t="s">
        <v>1182</v>
      </c>
      <c r="CG171" t="s">
        <v>1011</v>
      </c>
    </row>
    <row r="172" spans="64:85" x14ac:dyDescent="0.35">
      <c r="BL172" s="45"/>
      <c r="BM172" s="45"/>
      <c r="BN172" s="46" t="s">
        <v>1310</v>
      </c>
      <c r="BO172" s="46">
        <v>0.35</v>
      </c>
      <c r="BP172" s="48" t="s">
        <v>1435</v>
      </c>
      <c r="BQ172" s="48">
        <v>0.2</v>
      </c>
      <c r="BR172" s="52" t="s">
        <v>1310</v>
      </c>
      <c r="BS172" s="50">
        <v>0.35</v>
      </c>
      <c r="CE172" t="s">
        <v>802</v>
      </c>
      <c r="CF172" t="s">
        <v>1239</v>
      </c>
      <c r="CG172" t="s">
        <v>1012</v>
      </c>
    </row>
    <row r="173" spans="64:85" x14ac:dyDescent="0.35">
      <c r="BL173" s="45"/>
      <c r="BM173" s="45"/>
      <c r="BN173" s="46" t="s">
        <v>379</v>
      </c>
      <c r="BO173" s="46">
        <v>0.35</v>
      </c>
      <c r="BP173" s="48" t="s">
        <v>1436</v>
      </c>
      <c r="BQ173" s="48">
        <v>0.3</v>
      </c>
      <c r="BR173" s="50" t="s">
        <v>379</v>
      </c>
      <c r="BS173" s="50">
        <v>0.35</v>
      </c>
      <c r="CE173" t="s">
        <v>803</v>
      </c>
      <c r="CF173" t="s">
        <v>1183</v>
      </c>
      <c r="CG173" t="s">
        <v>1013</v>
      </c>
    </row>
    <row r="174" spans="64:85" x14ac:dyDescent="0.35">
      <c r="BL174" s="45"/>
      <c r="BM174" s="45"/>
      <c r="BN174" s="46" t="s">
        <v>567</v>
      </c>
      <c r="BO174" s="46">
        <v>0.4</v>
      </c>
      <c r="BP174" s="48" t="s">
        <v>1437</v>
      </c>
      <c r="BQ174" s="48">
        <v>0.15</v>
      </c>
      <c r="BR174" s="50" t="s">
        <v>567</v>
      </c>
      <c r="BS174" s="50">
        <v>0.4</v>
      </c>
      <c r="CE174" t="s">
        <v>804</v>
      </c>
      <c r="CF174" t="s">
        <v>1184</v>
      </c>
      <c r="CG174" t="s">
        <v>1014</v>
      </c>
    </row>
    <row r="175" spans="64:85" x14ac:dyDescent="0.35">
      <c r="BL175" s="45"/>
      <c r="BM175" s="45"/>
      <c r="BN175" s="46" t="s">
        <v>381</v>
      </c>
      <c r="BO175" s="46">
        <v>0.4</v>
      </c>
      <c r="BP175" s="48" t="s">
        <v>1438</v>
      </c>
      <c r="BQ175" s="48">
        <v>0.15</v>
      </c>
      <c r="BR175" s="50" t="s">
        <v>381</v>
      </c>
      <c r="BS175" s="50">
        <v>0.4</v>
      </c>
      <c r="CE175" t="s">
        <v>805</v>
      </c>
      <c r="CF175" t="s">
        <v>1240</v>
      </c>
      <c r="CG175" t="s">
        <v>1015</v>
      </c>
    </row>
    <row r="176" spans="64:85" x14ac:dyDescent="0.35">
      <c r="BL176" s="45"/>
      <c r="BM176" s="45"/>
      <c r="BN176" s="46" t="s">
        <v>383</v>
      </c>
      <c r="BO176" s="46">
        <v>0.45</v>
      </c>
      <c r="BP176" s="48" t="s">
        <v>1439</v>
      </c>
      <c r="BQ176" s="48">
        <v>0.2</v>
      </c>
      <c r="BR176" s="50" t="s">
        <v>383</v>
      </c>
      <c r="BS176" s="50">
        <v>0.45</v>
      </c>
      <c r="CE176" t="s">
        <v>806</v>
      </c>
      <c r="CF176" t="s">
        <v>1185</v>
      </c>
      <c r="CG176" t="s">
        <v>1016</v>
      </c>
    </row>
    <row r="177" spans="64:85" x14ac:dyDescent="0.35">
      <c r="BL177" s="45"/>
      <c r="BM177" s="45"/>
      <c r="BN177" s="46" t="s">
        <v>385</v>
      </c>
      <c r="BO177" s="46">
        <v>0.45</v>
      </c>
      <c r="BP177" s="48" t="s">
        <v>1440</v>
      </c>
      <c r="BQ177" s="48">
        <v>0.15</v>
      </c>
      <c r="BR177" s="50" t="s">
        <v>385</v>
      </c>
      <c r="BS177" s="50">
        <v>0.45</v>
      </c>
      <c r="CE177" t="s">
        <v>807</v>
      </c>
      <c r="CF177" t="s">
        <v>1241</v>
      </c>
      <c r="CG177" t="s">
        <v>1017</v>
      </c>
    </row>
    <row r="178" spans="64:85" x14ac:dyDescent="0.35">
      <c r="BL178" s="45"/>
      <c r="BM178" s="45"/>
      <c r="BN178" s="46" t="s">
        <v>387</v>
      </c>
      <c r="BO178" s="46">
        <v>0.45</v>
      </c>
      <c r="BP178" s="48" t="s">
        <v>1441</v>
      </c>
      <c r="BQ178" s="48">
        <v>0.25</v>
      </c>
      <c r="BR178" s="50" t="s">
        <v>387</v>
      </c>
      <c r="BS178" s="50">
        <v>0.45</v>
      </c>
      <c r="CE178" t="s">
        <v>808</v>
      </c>
      <c r="CF178" t="s">
        <v>1186</v>
      </c>
      <c r="CG178" t="s">
        <v>1018</v>
      </c>
    </row>
    <row r="179" spans="64:85" x14ac:dyDescent="0.35">
      <c r="BL179" s="45"/>
      <c r="BM179" s="45"/>
      <c r="BN179" s="46" t="s">
        <v>389</v>
      </c>
      <c r="BO179" s="46">
        <v>0.6</v>
      </c>
      <c r="BP179" s="48" t="s">
        <v>1442</v>
      </c>
      <c r="BQ179" s="48">
        <v>0.25</v>
      </c>
      <c r="BR179" s="50" t="s">
        <v>389</v>
      </c>
      <c r="BS179" s="50">
        <v>0.6</v>
      </c>
      <c r="CE179" t="s">
        <v>809</v>
      </c>
      <c r="CF179" t="s">
        <v>1242</v>
      </c>
      <c r="CG179" t="s">
        <v>1019</v>
      </c>
    </row>
    <row r="180" spans="64:85" x14ac:dyDescent="0.35">
      <c r="BL180" s="45"/>
      <c r="BM180" s="45"/>
      <c r="BN180" s="46" t="s">
        <v>391</v>
      </c>
      <c r="BO180" s="46">
        <v>1</v>
      </c>
      <c r="BP180" s="48" t="s">
        <v>1443</v>
      </c>
      <c r="BQ180" s="48">
        <v>0.25</v>
      </c>
      <c r="BR180" s="50" t="s">
        <v>391</v>
      </c>
      <c r="BS180" s="50">
        <v>1</v>
      </c>
      <c r="CE180" t="s">
        <v>810</v>
      </c>
      <c r="CF180" t="s">
        <v>1243</v>
      </c>
      <c r="CG180" t="s">
        <v>1020</v>
      </c>
    </row>
    <row r="181" spans="64:85" x14ac:dyDescent="0.35">
      <c r="BL181" s="45"/>
      <c r="BM181" s="45"/>
      <c r="BN181" s="46"/>
      <c r="BO181" s="46"/>
      <c r="BP181" s="48" t="s">
        <v>1444</v>
      </c>
      <c r="BQ181" s="48">
        <v>0.3</v>
      </c>
      <c r="BR181" s="50" t="s">
        <v>1390</v>
      </c>
      <c r="BS181" s="50">
        <v>0.25</v>
      </c>
      <c r="CE181" t="s">
        <v>811</v>
      </c>
      <c r="CF181" t="s">
        <v>1244</v>
      </c>
      <c r="CG181" t="s">
        <v>1021</v>
      </c>
    </row>
    <row r="182" spans="64:85" x14ac:dyDescent="0.35">
      <c r="BL182" s="45"/>
      <c r="BM182" s="45"/>
      <c r="BN182" s="46"/>
      <c r="BO182" s="46"/>
      <c r="BP182" s="48" t="s">
        <v>1445</v>
      </c>
      <c r="BQ182" s="48">
        <v>0.3</v>
      </c>
      <c r="BR182" s="50"/>
      <c r="BS182" s="50"/>
      <c r="CE182" t="s">
        <v>812</v>
      </c>
      <c r="CF182" t="s">
        <v>1187</v>
      </c>
      <c r="CG182" t="s">
        <v>1022</v>
      </c>
    </row>
    <row r="183" spans="64:85" x14ac:dyDescent="0.35">
      <c r="BL183" s="45"/>
      <c r="BM183" s="45"/>
      <c r="BN183" s="46"/>
      <c r="BO183" s="46"/>
      <c r="BP183" s="48" t="s">
        <v>1446</v>
      </c>
      <c r="BQ183" s="48">
        <v>0.35</v>
      </c>
      <c r="BR183" s="50"/>
      <c r="BS183" s="50"/>
      <c r="CE183" t="s">
        <v>813</v>
      </c>
      <c r="CF183" t="s">
        <v>1188</v>
      </c>
      <c r="CG183" t="s">
        <v>1023</v>
      </c>
    </row>
    <row r="184" spans="64:85" x14ac:dyDescent="0.35">
      <c r="BL184" s="45"/>
      <c r="BM184" s="45"/>
      <c r="BN184" s="46" t="s">
        <v>569</v>
      </c>
      <c r="BO184" s="46">
        <v>0.05</v>
      </c>
      <c r="BP184" s="48" t="s">
        <v>1447</v>
      </c>
      <c r="BQ184" s="48">
        <v>0.6</v>
      </c>
      <c r="BR184" s="50"/>
      <c r="BS184" s="50"/>
      <c r="CE184" t="s">
        <v>814</v>
      </c>
      <c r="CF184" t="s">
        <v>630</v>
      </c>
      <c r="CG184" t="s">
        <v>1024</v>
      </c>
    </row>
    <row r="185" spans="64:85" x14ac:dyDescent="0.35">
      <c r="BL185" s="45"/>
      <c r="BM185" s="45"/>
      <c r="BN185" s="46" t="s">
        <v>315</v>
      </c>
      <c r="BO185" s="46">
        <v>0.05</v>
      </c>
      <c r="BP185" s="48" t="s">
        <v>1448</v>
      </c>
      <c r="BQ185" s="48">
        <v>0.2</v>
      </c>
      <c r="BR185" s="50"/>
      <c r="BS185" s="50"/>
      <c r="CE185" t="s">
        <v>815</v>
      </c>
      <c r="CF185" t="s">
        <v>1189</v>
      </c>
      <c r="CG185" t="s">
        <v>1025</v>
      </c>
    </row>
    <row r="186" spans="64:85" x14ac:dyDescent="0.35">
      <c r="BL186" s="45"/>
      <c r="BM186" s="45"/>
      <c r="BN186" s="46" t="s">
        <v>317</v>
      </c>
      <c r="BO186" s="46">
        <v>0.1</v>
      </c>
      <c r="BP186" s="48" t="s">
        <v>1449</v>
      </c>
      <c r="BQ186" s="48">
        <v>0.25</v>
      </c>
      <c r="BR186" s="50"/>
      <c r="BS186" s="50"/>
      <c r="CE186" t="s">
        <v>816</v>
      </c>
      <c r="CF186" t="s">
        <v>1245</v>
      </c>
      <c r="CG186" t="s">
        <v>1026</v>
      </c>
    </row>
    <row r="187" spans="64:85" x14ac:dyDescent="0.35">
      <c r="BL187" s="45"/>
      <c r="BM187" s="45"/>
      <c r="BN187" s="46" t="s">
        <v>320</v>
      </c>
      <c r="BO187" s="46">
        <v>0.2</v>
      </c>
      <c r="BP187" s="48" t="s">
        <v>1450</v>
      </c>
      <c r="BQ187" s="48">
        <v>0.3</v>
      </c>
      <c r="BR187" s="50"/>
      <c r="BS187" s="50"/>
      <c r="CE187" t="s">
        <v>817</v>
      </c>
      <c r="CF187" t="s">
        <v>1190</v>
      </c>
      <c r="CG187" t="s">
        <v>1027</v>
      </c>
    </row>
    <row r="188" spans="64:85" x14ac:dyDescent="0.35">
      <c r="BL188" s="45"/>
      <c r="BM188" s="45"/>
      <c r="BN188" s="46" t="s">
        <v>321</v>
      </c>
      <c r="BO188" s="46">
        <v>0.3</v>
      </c>
      <c r="BP188" s="48" t="s">
        <v>1451</v>
      </c>
      <c r="BQ188" s="48">
        <v>0.3</v>
      </c>
      <c r="BR188" s="50"/>
      <c r="BS188" s="50"/>
      <c r="CE188" t="s">
        <v>818</v>
      </c>
      <c r="CF188" t="s">
        <v>1191</v>
      </c>
      <c r="CG188" t="s">
        <v>1028</v>
      </c>
    </row>
    <row r="189" spans="64:85" x14ac:dyDescent="0.35">
      <c r="BL189" s="45"/>
      <c r="BM189" s="45"/>
      <c r="BN189" s="46" t="s">
        <v>323</v>
      </c>
      <c r="BO189" s="46">
        <v>0.3</v>
      </c>
      <c r="BP189" s="48" t="s">
        <v>1452</v>
      </c>
      <c r="BQ189" s="48">
        <v>0.35</v>
      </c>
      <c r="BR189" s="50"/>
      <c r="BS189" s="50"/>
      <c r="CE189" t="s">
        <v>819</v>
      </c>
      <c r="CF189" t="s">
        <v>1192</v>
      </c>
      <c r="CG189" t="s">
        <v>1029</v>
      </c>
    </row>
    <row r="190" spans="64:85" x14ac:dyDescent="0.35">
      <c r="BL190" s="45"/>
      <c r="BM190" s="45"/>
      <c r="BN190" s="46" t="s">
        <v>325</v>
      </c>
      <c r="BO190" s="46">
        <v>0.4</v>
      </c>
      <c r="BP190" s="48" t="s">
        <v>1453</v>
      </c>
      <c r="BQ190" s="48">
        <v>0.35</v>
      </c>
      <c r="BR190" s="50"/>
      <c r="BS190" s="50"/>
      <c r="CE190" t="s">
        <v>820</v>
      </c>
      <c r="CF190" t="s">
        <v>1193</v>
      </c>
      <c r="CG190" t="s">
        <v>1030</v>
      </c>
    </row>
    <row r="191" spans="64:85" x14ac:dyDescent="0.35">
      <c r="BL191" s="45"/>
      <c r="BM191" s="45"/>
      <c r="BN191" s="46" t="s">
        <v>327</v>
      </c>
      <c r="BO191" s="46">
        <v>0.1</v>
      </c>
      <c r="BP191" s="48" t="s">
        <v>1454</v>
      </c>
      <c r="BQ191" s="48">
        <v>0.4</v>
      </c>
      <c r="BR191" s="50"/>
      <c r="BS191" s="50"/>
      <c r="CE191" t="s">
        <v>821</v>
      </c>
      <c r="CF191" t="s">
        <v>1194</v>
      </c>
      <c r="CG191" t="s">
        <v>1031</v>
      </c>
    </row>
    <row r="192" spans="64:85" x14ac:dyDescent="0.35">
      <c r="BL192" s="45"/>
      <c r="BM192" s="45"/>
      <c r="BN192" s="46" t="s">
        <v>329</v>
      </c>
      <c r="BO192" s="46">
        <v>0.25</v>
      </c>
      <c r="BP192" s="48" t="s">
        <v>1455</v>
      </c>
      <c r="BQ192" s="48">
        <v>0.4</v>
      </c>
      <c r="BR192" s="50"/>
      <c r="BS192" s="50"/>
      <c r="CE192" t="s">
        <v>822</v>
      </c>
      <c r="CF192" t="s">
        <v>1246</v>
      </c>
      <c r="CG192" t="s">
        <v>1032</v>
      </c>
    </row>
    <row r="193" spans="64:85" x14ac:dyDescent="0.35">
      <c r="BL193" s="45"/>
      <c r="BM193" s="45"/>
      <c r="BN193" s="46" t="s">
        <v>331</v>
      </c>
      <c r="BO193" s="46">
        <v>0.3</v>
      </c>
      <c r="BP193" s="48" t="s">
        <v>1456</v>
      </c>
      <c r="BQ193" s="48">
        <v>0.45</v>
      </c>
      <c r="BR193" s="50"/>
      <c r="BS193" s="50"/>
      <c r="CE193" t="s">
        <v>823</v>
      </c>
      <c r="CF193" t="s">
        <v>1195</v>
      </c>
      <c r="CG193" t="s">
        <v>1033</v>
      </c>
    </row>
    <row r="194" spans="64:85" x14ac:dyDescent="0.35">
      <c r="BL194" s="45"/>
      <c r="BM194" s="45"/>
      <c r="BN194" s="46" t="s">
        <v>333</v>
      </c>
      <c r="BO194" s="46">
        <v>0.45</v>
      </c>
      <c r="BP194" s="48" t="s">
        <v>1457</v>
      </c>
      <c r="BQ194" s="48">
        <v>0.45</v>
      </c>
      <c r="BR194" s="50"/>
      <c r="BS194" s="50"/>
      <c r="CE194" t="s">
        <v>1463</v>
      </c>
      <c r="CF194" t="s">
        <v>1464</v>
      </c>
      <c r="CG194" t="s">
        <v>1034</v>
      </c>
    </row>
    <row r="195" spans="64:85" x14ac:dyDescent="0.35">
      <c r="BL195" s="45"/>
      <c r="BM195" s="45"/>
      <c r="BN195" s="46" t="s">
        <v>335</v>
      </c>
      <c r="BO195" s="46">
        <v>0.4</v>
      </c>
      <c r="BP195" s="48" t="s">
        <v>1458</v>
      </c>
      <c r="BQ195" s="48">
        <v>0.45</v>
      </c>
      <c r="BR195" s="50"/>
      <c r="BS195" s="50"/>
      <c r="CE195" t="s">
        <v>824</v>
      </c>
      <c r="CF195" t="s">
        <v>1196</v>
      </c>
      <c r="CG195" t="s">
        <v>1035</v>
      </c>
    </row>
    <row r="196" spans="64:85" x14ac:dyDescent="0.35">
      <c r="BL196" s="45"/>
      <c r="BM196" s="45"/>
      <c r="BN196" s="46" t="s">
        <v>337</v>
      </c>
      <c r="BO196" s="46">
        <v>0.1</v>
      </c>
      <c r="BP196" s="48" t="s">
        <v>1459</v>
      </c>
      <c r="BQ196" s="48">
        <v>0.6</v>
      </c>
      <c r="BR196" s="50"/>
      <c r="BS196" s="50"/>
      <c r="CE196" t="s">
        <v>825</v>
      </c>
      <c r="CF196" t="s">
        <v>1247</v>
      </c>
      <c r="CG196" t="s">
        <v>1036</v>
      </c>
    </row>
    <row r="197" spans="64:85" x14ac:dyDescent="0.35">
      <c r="BL197" s="45"/>
      <c r="BM197" s="45"/>
      <c r="BN197" s="46" t="s">
        <v>339</v>
      </c>
      <c r="BO197" s="46">
        <v>0.1</v>
      </c>
      <c r="BP197" s="48" t="s">
        <v>1460</v>
      </c>
      <c r="BQ197" s="48">
        <v>1</v>
      </c>
      <c r="BR197" s="50" t="s">
        <v>569</v>
      </c>
      <c r="BS197" s="50">
        <v>0.05</v>
      </c>
      <c r="CE197" t="s">
        <v>826</v>
      </c>
      <c r="CF197" t="s">
        <v>1197</v>
      </c>
      <c r="CG197" t="s">
        <v>1037</v>
      </c>
    </row>
    <row r="198" spans="64:85" x14ac:dyDescent="0.35">
      <c r="BL198" s="45"/>
      <c r="BM198" s="45"/>
      <c r="BN198" s="46" t="s">
        <v>341</v>
      </c>
      <c r="BO198" s="46">
        <v>0.05</v>
      </c>
      <c r="BP198" s="48"/>
      <c r="BQ198" s="48"/>
      <c r="BR198" s="50" t="s">
        <v>315</v>
      </c>
      <c r="BS198" s="50">
        <v>0.05</v>
      </c>
      <c r="CE198" t="s">
        <v>827</v>
      </c>
      <c r="CF198" t="s">
        <v>1198</v>
      </c>
      <c r="CG198" t="s">
        <v>1038</v>
      </c>
    </row>
    <row r="199" spans="64:85" x14ac:dyDescent="0.35">
      <c r="BL199" s="45"/>
      <c r="BM199" s="45"/>
      <c r="BN199" s="46" t="s">
        <v>343</v>
      </c>
      <c r="BO199" s="46">
        <v>0.1</v>
      </c>
      <c r="BP199" s="48"/>
      <c r="BQ199" s="48"/>
      <c r="BR199" s="50" t="s">
        <v>317</v>
      </c>
      <c r="BS199" s="50">
        <v>0.1</v>
      </c>
      <c r="CE199" t="s">
        <v>828</v>
      </c>
      <c r="CF199" t="s">
        <v>1248</v>
      </c>
      <c r="CG199" t="s">
        <v>1039</v>
      </c>
    </row>
    <row r="200" spans="64:85" x14ac:dyDescent="0.35">
      <c r="BL200" s="45"/>
      <c r="BM200" s="45"/>
      <c r="BN200" s="46" t="s">
        <v>345</v>
      </c>
      <c r="BO200" s="46">
        <v>0.2</v>
      </c>
      <c r="BP200" s="48"/>
      <c r="BQ200" s="48"/>
      <c r="BR200" s="50" t="s">
        <v>320</v>
      </c>
      <c r="BS200" s="50">
        <v>0.2</v>
      </c>
      <c r="CE200" t="s">
        <v>829</v>
      </c>
      <c r="CF200" t="s">
        <v>1249</v>
      </c>
      <c r="CG200" t="s">
        <v>1040</v>
      </c>
    </row>
    <row r="201" spans="64:85" x14ac:dyDescent="0.35">
      <c r="BL201" s="45"/>
      <c r="BM201" s="45"/>
      <c r="BN201" s="46" t="s">
        <v>570</v>
      </c>
      <c r="BO201" s="46">
        <v>0.2</v>
      </c>
      <c r="BP201" s="48"/>
      <c r="BQ201" s="48"/>
      <c r="BR201" s="50" t="s">
        <v>321</v>
      </c>
      <c r="BS201" s="50">
        <v>0.3</v>
      </c>
      <c r="CE201" t="s">
        <v>830</v>
      </c>
      <c r="CF201" t="s">
        <v>1199</v>
      </c>
      <c r="CG201" t="s">
        <v>1041</v>
      </c>
    </row>
    <row r="202" spans="64:85" x14ac:dyDescent="0.35">
      <c r="BL202" s="45"/>
      <c r="BM202" s="45"/>
      <c r="BN202" s="46" t="s">
        <v>348</v>
      </c>
      <c r="BO202" s="46">
        <v>0.1</v>
      </c>
      <c r="BP202" s="48"/>
      <c r="BQ202" s="48"/>
      <c r="BR202" s="50" t="s">
        <v>323</v>
      </c>
      <c r="BS202" s="50">
        <v>0.3</v>
      </c>
      <c r="CE202" t="s">
        <v>831</v>
      </c>
      <c r="CF202" t="s">
        <v>1200</v>
      </c>
      <c r="CG202" t="s">
        <v>1042</v>
      </c>
    </row>
    <row r="203" spans="64:85" x14ac:dyDescent="0.35">
      <c r="BL203" s="45"/>
      <c r="BM203" s="45"/>
      <c r="BN203" s="46" t="s">
        <v>350</v>
      </c>
      <c r="BO203" s="46">
        <v>0.2</v>
      </c>
      <c r="BP203" s="48"/>
      <c r="BQ203" s="48"/>
      <c r="BR203" s="50" t="s">
        <v>325</v>
      </c>
      <c r="BS203" s="50">
        <v>0.4</v>
      </c>
      <c r="CE203" t="s">
        <v>832</v>
      </c>
      <c r="CF203" t="s">
        <v>1201</v>
      </c>
      <c r="CG203" t="s">
        <v>1043</v>
      </c>
    </row>
    <row r="204" spans="64:85" x14ac:dyDescent="0.35">
      <c r="BL204" s="45"/>
      <c r="BM204" s="45"/>
      <c r="BN204" s="46" t="s">
        <v>352</v>
      </c>
      <c r="BO204" s="46">
        <v>0.05</v>
      </c>
      <c r="BP204" s="48"/>
      <c r="BQ204" s="48"/>
      <c r="BR204" s="50" t="s">
        <v>327</v>
      </c>
      <c r="BS204" s="50">
        <v>0.1</v>
      </c>
      <c r="CE204" t="s">
        <v>833</v>
      </c>
      <c r="CF204" t="s">
        <v>1202</v>
      </c>
      <c r="CG204" t="s">
        <v>1044</v>
      </c>
    </row>
    <row r="205" spans="64:85" x14ac:dyDescent="0.35">
      <c r="BL205" s="45"/>
      <c r="BM205" s="45"/>
      <c r="BN205" s="46" t="s">
        <v>354</v>
      </c>
      <c r="BO205" s="46">
        <v>0.05</v>
      </c>
      <c r="BP205" s="48"/>
      <c r="BQ205" s="48"/>
      <c r="BR205" s="50" t="s">
        <v>329</v>
      </c>
      <c r="BS205" s="50">
        <v>0.25</v>
      </c>
      <c r="CE205" t="s">
        <v>834</v>
      </c>
      <c r="CF205" t="s">
        <v>1203</v>
      </c>
      <c r="CG205" t="s">
        <v>1045</v>
      </c>
    </row>
    <row r="206" spans="64:85" x14ac:dyDescent="0.35">
      <c r="BL206" s="45"/>
      <c r="BM206" s="45"/>
      <c r="BN206" s="46" t="s">
        <v>356</v>
      </c>
      <c r="BO206" s="46">
        <v>0.05</v>
      </c>
      <c r="BP206" s="48"/>
      <c r="BQ206" s="48"/>
      <c r="BR206" s="50" t="s">
        <v>331</v>
      </c>
      <c r="BS206" s="50">
        <v>0.3</v>
      </c>
      <c r="CE206" t="s">
        <v>835</v>
      </c>
      <c r="CF206" t="s">
        <v>1254</v>
      </c>
      <c r="CG206" t="s">
        <v>1046</v>
      </c>
    </row>
    <row r="207" spans="64:85" x14ac:dyDescent="0.35">
      <c r="BL207" s="45"/>
      <c r="BM207" s="45"/>
      <c r="BN207" s="46" t="s">
        <v>358</v>
      </c>
      <c r="BO207" s="46">
        <v>0.05</v>
      </c>
      <c r="BP207" s="48"/>
      <c r="BQ207" s="48"/>
      <c r="BR207" s="50" t="s">
        <v>333</v>
      </c>
      <c r="BS207" s="50">
        <v>0.45</v>
      </c>
      <c r="CE207" t="s">
        <v>836</v>
      </c>
      <c r="CF207" t="s">
        <v>1204</v>
      </c>
      <c r="CG207" t="s">
        <v>1047</v>
      </c>
    </row>
    <row r="208" spans="64:85" x14ac:dyDescent="0.35">
      <c r="BL208" s="45"/>
      <c r="BM208" s="45"/>
      <c r="BN208" s="46" t="s">
        <v>360</v>
      </c>
      <c r="BO208" s="46">
        <v>0.1</v>
      </c>
      <c r="BP208" s="48"/>
      <c r="BQ208" s="48"/>
      <c r="BR208" s="50" t="s">
        <v>335</v>
      </c>
      <c r="BS208" s="50">
        <v>0.4</v>
      </c>
      <c r="CE208" t="s">
        <v>837</v>
      </c>
      <c r="CF208" t="s">
        <v>1205</v>
      </c>
      <c r="CG208" t="s">
        <v>1048</v>
      </c>
    </row>
    <row r="209" spans="64:85" x14ac:dyDescent="0.35">
      <c r="BL209" s="45"/>
      <c r="BM209" s="45"/>
      <c r="BN209" s="46" t="s">
        <v>362</v>
      </c>
      <c r="BO209" s="46">
        <v>0.1</v>
      </c>
      <c r="BP209" s="48"/>
      <c r="BQ209" s="48"/>
      <c r="BR209" s="50" t="s">
        <v>337</v>
      </c>
      <c r="BS209" s="50">
        <v>0.1</v>
      </c>
      <c r="CE209" t="s">
        <v>838</v>
      </c>
      <c r="CF209" t="s">
        <v>1206</v>
      </c>
      <c r="CG209" t="s">
        <v>1049</v>
      </c>
    </row>
    <row r="210" spans="64:85" x14ac:dyDescent="0.35">
      <c r="BL210" s="45"/>
      <c r="BM210" s="45"/>
      <c r="BN210" s="46" t="s">
        <v>364</v>
      </c>
      <c r="BO210" s="46">
        <v>0.1</v>
      </c>
      <c r="BP210" s="48"/>
      <c r="BQ210" s="48"/>
      <c r="BR210" s="50" t="s">
        <v>339</v>
      </c>
      <c r="BS210" s="50">
        <v>0.1</v>
      </c>
    </row>
    <row r="211" spans="64:85" x14ac:dyDescent="0.35">
      <c r="BL211" s="45"/>
      <c r="BM211" s="45"/>
      <c r="BN211" s="46" t="s">
        <v>366</v>
      </c>
      <c r="BO211" s="46">
        <v>0.05</v>
      </c>
      <c r="BP211" s="48"/>
      <c r="BQ211" s="48"/>
      <c r="BR211" s="50" t="s">
        <v>341</v>
      </c>
      <c r="BS211" s="50">
        <v>0.05</v>
      </c>
    </row>
    <row r="212" spans="64:85" x14ac:dyDescent="0.35">
      <c r="BL212" s="45"/>
      <c r="BM212" s="45"/>
      <c r="BN212" s="46" t="s">
        <v>368</v>
      </c>
      <c r="BO212" s="46">
        <v>0.1</v>
      </c>
      <c r="BP212" s="48"/>
      <c r="BQ212" s="48"/>
      <c r="BR212" s="50" t="s">
        <v>343</v>
      </c>
      <c r="BS212" s="50">
        <v>0.1</v>
      </c>
    </row>
    <row r="213" spans="64:85" x14ac:dyDescent="0.35">
      <c r="BL213" s="45"/>
      <c r="BM213" s="45"/>
      <c r="BN213" s="46" t="s">
        <v>370</v>
      </c>
      <c r="BO213" s="46">
        <v>0.1</v>
      </c>
      <c r="BP213" s="48"/>
      <c r="BQ213" s="48"/>
      <c r="BR213" s="50" t="s">
        <v>345</v>
      </c>
      <c r="BS213" s="50">
        <v>0.2</v>
      </c>
    </row>
    <row r="214" spans="64:85" x14ac:dyDescent="0.35">
      <c r="BL214" s="45"/>
      <c r="BM214" s="45"/>
      <c r="BN214" s="46" t="s">
        <v>566</v>
      </c>
      <c r="BO214" s="46">
        <v>0.45</v>
      </c>
      <c r="BP214" s="48"/>
      <c r="BQ214" s="48"/>
      <c r="BR214" s="50" t="s">
        <v>570</v>
      </c>
      <c r="BS214" s="50">
        <v>0.2</v>
      </c>
    </row>
    <row r="215" spans="64:85" x14ac:dyDescent="0.35">
      <c r="BL215" s="45"/>
      <c r="BM215" s="45"/>
      <c r="BN215" s="46" t="s">
        <v>372</v>
      </c>
      <c r="BO215" s="46">
        <v>0.05</v>
      </c>
      <c r="BP215" s="48"/>
      <c r="BQ215" s="48"/>
      <c r="BR215" s="50" t="s">
        <v>348</v>
      </c>
      <c r="BS215" s="50">
        <v>0.1</v>
      </c>
    </row>
    <row r="216" spans="64:85" x14ac:dyDescent="0.35">
      <c r="BL216" s="45"/>
      <c r="BM216" s="45"/>
      <c r="BN216" s="46" t="s">
        <v>374</v>
      </c>
      <c r="BO216" s="46">
        <v>0.15</v>
      </c>
      <c r="BP216" s="48"/>
      <c r="BQ216" s="48"/>
      <c r="BR216" s="50" t="s">
        <v>350</v>
      </c>
      <c r="BS216" s="50">
        <v>0.2</v>
      </c>
    </row>
    <row r="217" spans="64:85" x14ac:dyDescent="0.35">
      <c r="BL217" s="45"/>
      <c r="BM217" s="45"/>
      <c r="BN217" s="46" t="s">
        <v>376</v>
      </c>
      <c r="BO217" s="46">
        <v>0.1</v>
      </c>
      <c r="BP217" s="48"/>
      <c r="BQ217" s="48"/>
      <c r="BR217" s="50" t="s">
        <v>352</v>
      </c>
      <c r="BS217" s="50">
        <v>0.05</v>
      </c>
    </row>
    <row r="218" spans="64:85" x14ac:dyDescent="0.35">
      <c r="BL218" s="45"/>
      <c r="BM218" s="45"/>
      <c r="BN218" s="46" t="s">
        <v>378</v>
      </c>
      <c r="BO218" s="46">
        <v>0.1</v>
      </c>
      <c r="BP218" s="48"/>
      <c r="BQ218" s="48"/>
      <c r="BR218" s="50" t="s">
        <v>354</v>
      </c>
      <c r="BS218" s="50">
        <v>0.05</v>
      </c>
    </row>
    <row r="219" spans="64:85" x14ac:dyDescent="0.35">
      <c r="BL219" s="45"/>
      <c r="BM219" s="45"/>
      <c r="BN219" s="46" t="s">
        <v>1274</v>
      </c>
      <c r="BO219" s="46">
        <v>0.2</v>
      </c>
      <c r="BP219" s="48"/>
      <c r="BQ219" s="48"/>
      <c r="BR219" s="50" t="s">
        <v>356</v>
      </c>
      <c r="BS219" s="50">
        <v>0.05</v>
      </c>
    </row>
    <row r="220" spans="64:85" x14ac:dyDescent="0.35">
      <c r="BL220" s="45"/>
      <c r="BM220" s="45"/>
      <c r="BN220" s="46" t="s">
        <v>380</v>
      </c>
      <c r="BO220" s="46">
        <v>0.15</v>
      </c>
      <c r="BP220" s="48"/>
      <c r="BQ220" s="48"/>
      <c r="BR220" s="50" t="s">
        <v>358</v>
      </c>
      <c r="BS220" s="50">
        <v>0.05</v>
      </c>
    </row>
    <row r="221" spans="64:85" x14ac:dyDescent="0.35">
      <c r="BL221" s="45"/>
      <c r="BM221" s="45"/>
      <c r="BN221" s="46" t="s">
        <v>568</v>
      </c>
      <c r="BO221" s="46">
        <v>0.15</v>
      </c>
      <c r="BP221" s="48"/>
      <c r="BQ221" s="48"/>
      <c r="BR221" s="50" t="s">
        <v>360</v>
      </c>
      <c r="BS221" s="50">
        <v>0.1</v>
      </c>
    </row>
    <row r="222" spans="64:85" x14ac:dyDescent="0.35">
      <c r="BL222" s="45"/>
      <c r="BM222" s="45"/>
      <c r="BN222" s="46" t="s">
        <v>382</v>
      </c>
      <c r="BO222" s="46">
        <v>0.2</v>
      </c>
      <c r="BP222" s="48"/>
      <c r="BQ222" s="48"/>
      <c r="BR222" s="50" t="s">
        <v>362</v>
      </c>
      <c r="BS222" s="50">
        <v>0.1</v>
      </c>
    </row>
    <row r="223" spans="64:85" x14ac:dyDescent="0.35">
      <c r="BL223" s="45"/>
      <c r="BM223" s="45"/>
      <c r="BN223" s="46" t="s">
        <v>384</v>
      </c>
      <c r="BO223" s="46">
        <v>0.15</v>
      </c>
      <c r="BP223" s="48"/>
      <c r="BQ223" s="48"/>
      <c r="BR223" s="50" t="s">
        <v>364</v>
      </c>
      <c r="BS223" s="50">
        <v>0.1</v>
      </c>
    </row>
    <row r="224" spans="64:85" x14ac:dyDescent="0.35">
      <c r="BL224" s="45"/>
      <c r="BM224" s="45"/>
      <c r="BN224" s="46" t="s">
        <v>386</v>
      </c>
      <c r="BO224" s="46">
        <v>0.2</v>
      </c>
      <c r="BP224" s="48"/>
      <c r="BQ224" s="48"/>
      <c r="BR224" s="50" t="s">
        <v>366</v>
      </c>
      <c r="BS224" s="50">
        <v>0.05</v>
      </c>
    </row>
    <row r="225" spans="64:71" x14ac:dyDescent="0.35">
      <c r="BL225" s="45"/>
      <c r="BM225" s="45"/>
      <c r="BN225" s="46" t="s">
        <v>388</v>
      </c>
      <c r="BO225" s="46">
        <v>0.2</v>
      </c>
      <c r="BP225" s="48"/>
      <c r="BQ225" s="48"/>
      <c r="BR225" s="50" t="s">
        <v>368</v>
      </c>
      <c r="BS225" s="50">
        <v>0.1</v>
      </c>
    </row>
    <row r="226" spans="64:71" x14ac:dyDescent="0.35">
      <c r="BL226" s="45"/>
      <c r="BM226" s="45"/>
      <c r="BN226" s="46" t="s">
        <v>390</v>
      </c>
      <c r="BO226" s="46">
        <v>0.3</v>
      </c>
      <c r="BP226" s="48"/>
      <c r="BQ226" s="48"/>
      <c r="BR226" s="50" t="s">
        <v>370</v>
      </c>
      <c r="BS226" s="50">
        <v>0.1</v>
      </c>
    </row>
    <row r="227" spans="64:71" x14ac:dyDescent="0.35">
      <c r="BL227" s="45"/>
      <c r="BM227" s="45"/>
      <c r="BN227" s="46" t="s">
        <v>392</v>
      </c>
      <c r="BO227" s="46">
        <v>0.5</v>
      </c>
      <c r="BP227" s="48"/>
      <c r="BQ227" s="48"/>
      <c r="BR227" s="50" t="s">
        <v>566</v>
      </c>
      <c r="BS227" s="50">
        <v>0.45</v>
      </c>
    </row>
    <row r="228" spans="64:71" x14ac:dyDescent="0.35">
      <c r="BL228" s="45"/>
      <c r="BM228" s="45"/>
      <c r="BN228" s="46"/>
      <c r="BO228" s="46"/>
      <c r="BP228" s="48"/>
      <c r="BQ228" s="48"/>
      <c r="BR228" s="50" t="s">
        <v>372</v>
      </c>
      <c r="BS228" s="50">
        <v>0.05</v>
      </c>
    </row>
    <row r="229" spans="64:71" x14ac:dyDescent="0.35">
      <c r="BL229" s="45"/>
      <c r="BM229" s="45"/>
      <c r="BN229" s="46"/>
      <c r="BO229" s="46"/>
      <c r="BP229" s="48"/>
      <c r="BQ229" s="48"/>
      <c r="BR229" s="50" t="s">
        <v>374</v>
      </c>
      <c r="BS229" s="50">
        <v>0.15</v>
      </c>
    </row>
    <row r="230" spans="64:71" x14ac:dyDescent="0.35">
      <c r="BL230" s="45"/>
      <c r="BM230" s="45"/>
      <c r="BN230" s="46"/>
      <c r="BO230" s="46"/>
      <c r="BP230" s="48"/>
      <c r="BQ230" s="48"/>
      <c r="BR230" s="50" t="s">
        <v>376</v>
      </c>
      <c r="BS230" s="50">
        <v>0.1</v>
      </c>
    </row>
    <row r="231" spans="64:71" x14ac:dyDescent="0.35">
      <c r="BL231" s="45"/>
      <c r="BM231" s="45"/>
      <c r="BN231" s="46"/>
      <c r="BO231" s="46"/>
      <c r="BP231" s="48"/>
      <c r="BQ231" s="48"/>
      <c r="BR231" s="50" t="s">
        <v>378</v>
      </c>
      <c r="BS231" s="50">
        <v>0.1</v>
      </c>
    </row>
    <row r="232" spans="64:71" x14ac:dyDescent="0.35">
      <c r="BL232" s="45"/>
      <c r="BM232" s="45"/>
      <c r="BN232" s="46"/>
      <c r="BO232" s="46"/>
      <c r="BP232" s="48"/>
      <c r="BQ232" s="48"/>
      <c r="BR232" s="50" t="s">
        <v>1274</v>
      </c>
      <c r="BS232" s="50">
        <v>0.2</v>
      </c>
    </row>
    <row r="233" spans="64:71" x14ac:dyDescent="0.35">
      <c r="BL233" s="45"/>
      <c r="BM233" s="45"/>
      <c r="BN233" s="46"/>
      <c r="BO233" s="46"/>
      <c r="BP233" s="48"/>
      <c r="BQ233" s="48"/>
      <c r="BR233" s="50" t="s">
        <v>380</v>
      </c>
      <c r="BS233" s="50">
        <v>0.15</v>
      </c>
    </row>
    <row r="234" spans="64:71" x14ac:dyDescent="0.35">
      <c r="BL234" s="45"/>
      <c r="BM234" s="45"/>
      <c r="BN234" s="46"/>
      <c r="BO234" s="46"/>
      <c r="BP234" s="48"/>
      <c r="BQ234" s="48"/>
      <c r="BR234" s="50" t="s">
        <v>568</v>
      </c>
      <c r="BS234" s="50">
        <v>0.15</v>
      </c>
    </row>
    <row r="235" spans="64:71" x14ac:dyDescent="0.35">
      <c r="BL235" s="45"/>
      <c r="BM235" s="45"/>
      <c r="BN235" s="46"/>
      <c r="BO235" s="46"/>
      <c r="BP235" s="48"/>
      <c r="BQ235" s="48"/>
      <c r="BR235" s="50" t="s">
        <v>382</v>
      </c>
      <c r="BS235" s="50">
        <v>0.2</v>
      </c>
    </row>
    <row r="236" spans="64:71" x14ac:dyDescent="0.35">
      <c r="BL236" s="45"/>
      <c r="BM236" s="45"/>
      <c r="BN236" s="46"/>
      <c r="BO236" s="46"/>
      <c r="BP236" s="48"/>
      <c r="BQ236" s="48"/>
      <c r="BR236" s="50" t="s">
        <v>384</v>
      </c>
      <c r="BS236" s="50">
        <v>0.15</v>
      </c>
    </row>
    <row r="237" spans="64:71" x14ac:dyDescent="0.35">
      <c r="BL237" s="45"/>
      <c r="BM237" s="45"/>
      <c r="BN237" s="46"/>
      <c r="BO237" s="46"/>
      <c r="BP237" s="48"/>
      <c r="BQ237" s="48"/>
      <c r="BR237" s="50" t="s">
        <v>386</v>
      </c>
      <c r="BS237" s="50">
        <v>0.2</v>
      </c>
    </row>
    <row r="238" spans="64:71" x14ac:dyDescent="0.35">
      <c r="BL238" s="45"/>
      <c r="BM238" s="45"/>
      <c r="BN238" s="46"/>
      <c r="BO238" s="46"/>
      <c r="BP238" s="48"/>
      <c r="BQ238" s="48"/>
      <c r="BR238" s="50" t="s">
        <v>388</v>
      </c>
      <c r="BS238" s="50">
        <v>0.2</v>
      </c>
    </row>
    <row r="239" spans="64:71" x14ac:dyDescent="0.35">
      <c r="BL239" s="45"/>
      <c r="BM239" s="45"/>
      <c r="BN239" s="46"/>
      <c r="BO239" s="46"/>
      <c r="BP239" s="48"/>
      <c r="BQ239" s="48"/>
      <c r="BR239" s="50" t="s">
        <v>390</v>
      </c>
      <c r="BS239" s="50">
        <v>0.3</v>
      </c>
    </row>
    <row r="240" spans="64:71" x14ac:dyDescent="0.35">
      <c r="BL240" s="45"/>
      <c r="BM240" s="45"/>
      <c r="BN240" s="46"/>
      <c r="BO240" s="46"/>
      <c r="BP240" s="48"/>
      <c r="BQ240" s="48"/>
      <c r="BR240" s="50" t="s">
        <v>392</v>
      </c>
      <c r="BS240" s="50">
        <v>0.5</v>
      </c>
    </row>
    <row r="241" spans="64:71" x14ac:dyDescent="0.35">
      <c r="BL241" s="45"/>
      <c r="BM241" s="45"/>
      <c r="BN241" s="46"/>
      <c r="BO241" s="46"/>
      <c r="BP241" s="48"/>
      <c r="BQ241" s="48"/>
      <c r="BR241" s="50"/>
      <c r="BS241" s="50"/>
    </row>
    <row r="242" spans="64:71" x14ac:dyDescent="0.35">
      <c r="BL242" s="45"/>
      <c r="BM242" s="45"/>
      <c r="BN242" s="46"/>
      <c r="BO242" s="46"/>
      <c r="BP242" s="48"/>
      <c r="BQ242" s="48"/>
      <c r="BR242" s="50"/>
      <c r="BS242" s="50"/>
    </row>
    <row r="243" spans="64:71" x14ac:dyDescent="0.35">
      <c r="BL243" s="45"/>
      <c r="BM243" s="45"/>
      <c r="BN243" s="46"/>
      <c r="BO243" s="46"/>
      <c r="BP243" s="48"/>
      <c r="BQ243" s="48"/>
      <c r="BR243" s="50"/>
      <c r="BS243" s="50"/>
    </row>
    <row r="244" spans="64:71" x14ac:dyDescent="0.35">
      <c r="BL244" s="45"/>
      <c r="BM244" s="45"/>
      <c r="BN244" s="46"/>
      <c r="BO244" s="46"/>
      <c r="BP244" s="48"/>
      <c r="BQ244" s="48"/>
      <c r="BR244" s="50"/>
      <c r="BS244" s="50"/>
    </row>
    <row r="245" spans="64:71" x14ac:dyDescent="0.35">
      <c r="BL245" s="45"/>
      <c r="BM245" s="45"/>
      <c r="BN245" s="46"/>
      <c r="BO245" s="46"/>
      <c r="BP245" s="48"/>
      <c r="BQ245" s="48"/>
      <c r="BR245" s="50"/>
      <c r="BS245" s="50"/>
    </row>
    <row r="246" spans="64:71" x14ac:dyDescent="0.35">
      <c r="BL246" s="45"/>
      <c r="BM246" s="45"/>
      <c r="BN246" s="46"/>
      <c r="BO246" s="46"/>
      <c r="BP246" s="48"/>
      <c r="BQ246" s="48"/>
      <c r="BR246" s="50"/>
      <c r="BS246" s="50"/>
    </row>
    <row r="247" spans="64:71" x14ac:dyDescent="0.35">
      <c r="BL247" s="45"/>
      <c r="BM247" s="45"/>
      <c r="BN247" s="46"/>
      <c r="BO247" s="46"/>
      <c r="BP247" s="48"/>
      <c r="BQ247" s="48"/>
      <c r="BR247" s="50"/>
      <c r="BS247" s="50"/>
    </row>
    <row r="248" spans="64:71" x14ac:dyDescent="0.35">
      <c r="BL248" s="45"/>
      <c r="BM248" s="45"/>
      <c r="BN248" s="46"/>
      <c r="BO248" s="46"/>
      <c r="BP248" s="48"/>
      <c r="BQ248" s="48"/>
      <c r="BR248" s="50"/>
      <c r="BS248" s="50"/>
    </row>
    <row r="249" spans="64:71" x14ac:dyDescent="0.35">
      <c r="BL249" s="45"/>
      <c r="BM249" s="45"/>
      <c r="BN249" s="46"/>
      <c r="BO249" s="46"/>
      <c r="BP249" s="48"/>
      <c r="BQ249" s="48"/>
      <c r="BR249" s="50"/>
      <c r="BS249" s="50"/>
    </row>
    <row r="250" spans="64:71" x14ac:dyDescent="0.35">
      <c r="BL250" s="45"/>
      <c r="BM250" s="45"/>
      <c r="BN250" s="46"/>
      <c r="BO250" s="46"/>
      <c r="BP250" s="48"/>
      <c r="BQ250" s="48"/>
      <c r="BR250" s="50"/>
      <c r="BS250" s="50"/>
    </row>
    <row r="251" spans="64:71" x14ac:dyDescent="0.35">
      <c r="BL251" s="45"/>
      <c r="BM251" s="45"/>
      <c r="BN251" s="46"/>
      <c r="BO251" s="46"/>
      <c r="BP251" s="48"/>
      <c r="BQ251" s="48"/>
      <c r="BR251" s="50"/>
      <c r="BS251" s="50"/>
    </row>
    <row r="252" spans="64:71" x14ac:dyDescent="0.35">
      <c r="BL252" s="45"/>
      <c r="BM252" s="45"/>
      <c r="BN252" s="46"/>
      <c r="BO252" s="46"/>
      <c r="BP252" s="48"/>
      <c r="BQ252" s="48"/>
      <c r="BR252" s="50"/>
      <c r="BS252" s="50"/>
    </row>
    <row r="253" spans="64:71" x14ac:dyDescent="0.35">
      <c r="BL253" s="45"/>
      <c r="BM253" s="45"/>
      <c r="BN253" s="46"/>
      <c r="BO253" s="46"/>
      <c r="BP253" s="48"/>
      <c r="BQ253" s="48"/>
      <c r="BR253" s="50"/>
      <c r="BS253" s="50"/>
    </row>
    <row r="254" spans="64:71" x14ac:dyDescent="0.35">
      <c r="BL254" s="45"/>
      <c r="BM254" s="45"/>
      <c r="BN254" s="46"/>
      <c r="BO254" s="46"/>
      <c r="BP254" s="48"/>
      <c r="BQ254" s="48"/>
      <c r="BR254" s="50"/>
      <c r="BS254" s="50"/>
    </row>
    <row r="255" spans="64:71" x14ac:dyDescent="0.35">
      <c r="BL255" s="45"/>
      <c r="BM255" s="45"/>
      <c r="BN255" s="46"/>
      <c r="BO255" s="46"/>
      <c r="BP255" s="48"/>
      <c r="BQ255" s="48"/>
      <c r="BR255" s="50"/>
      <c r="BS255" s="50"/>
    </row>
    <row r="256" spans="64:71" x14ac:dyDescent="0.35">
      <c r="BL256" s="45"/>
      <c r="BM256" s="45"/>
      <c r="BN256" s="46"/>
      <c r="BO256" s="46"/>
      <c r="BP256" s="48"/>
      <c r="BQ256" s="48"/>
      <c r="BR256" s="50"/>
      <c r="BS256" s="50"/>
    </row>
    <row r="257" spans="63:71" x14ac:dyDescent="0.35">
      <c r="BK257" s="8">
        <v>6</v>
      </c>
      <c r="BL257" s="45"/>
      <c r="BM257" s="45"/>
      <c r="BN257" s="46" t="s">
        <v>549</v>
      </c>
      <c r="BO257" s="46">
        <v>0.3</v>
      </c>
      <c r="BP257" s="48" t="s">
        <v>473</v>
      </c>
      <c r="BQ257" s="48">
        <v>0.2</v>
      </c>
      <c r="BR257" s="50" t="s">
        <v>517</v>
      </c>
      <c r="BS257" s="50">
        <v>0.2</v>
      </c>
    </row>
    <row r="258" spans="63:71" x14ac:dyDescent="0.35">
      <c r="BL258" s="45"/>
      <c r="BM258" s="45"/>
      <c r="BN258" s="46" t="s">
        <v>473</v>
      </c>
      <c r="BO258" s="46">
        <v>0.2</v>
      </c>
      <c r="BP258" s="48" t="s">
        <v>476</v>
      </c>
      <c r="BQ258" s="48">
        <v>0.3</v>
      </c>
      <c r="BR258" s="50" t="s">
        <v>518</v>
      </c>
      <c r="BS258" s="50">
        <v>0.05</v>
      </c>
    </row>
    <row r="259" spans="63:71" x14ac:dyDescent="0.35">
      <c r="BL259" s="45"/>
      <c r="BM259" s="45"/>
      <c r="BN259" s="46" t="s">
        <v>474</v>
      </c>
      <c r="BO259" s="46">
        <v>0.25</v>
      </c>
      <c r="BP259" s="48" t="s">
        <v>478</v>
      </c>
      <c r="BQ259" s="48">
        <v>0.3</v>
      </c>
      <c r="BR259" s="50" t="s">
        <v>519</v>
      </c>
      <c r="BS259" s="50">
        <v>0.3</v>
      </c>
    </row>
    <row r="260" spans="63:71" x14ac:dyDescent="0.35">
      <c r="BL260" s="45"/>
      <c r="BM260" s="45"/>
      <c r="BN260" s="46" t="s">
        <v>475</v>
      </c>
      <c r="BO260" s="46">
        <v>0.05</v>
      </c>
      <c r="BP260" s="48" t="s">
        <v>480</v>
      </c>
      <c r="BQ260" s="48">
        <v>0.5</v>
      </c>
      <c r="BR260" s="50" t="s">
        <v>474</v>
      </c>
      <c r="BS260" s="50">
        <v>0.3</v>
      </c>
    </row>
    <row r="261" spans="63:71" x14ac:dyDescent="0.35">
      <c r="BL261" s="45"/>
      <c r="BM261" s="45"/>
      <c r="BN261" s="46" t="s">
        <v>476</v>
      </c>
      <c r="BO261" s="46">
        <v>0.3</v>
      </c>
      <c r="BP261" s="48" t="s">
        <v>482</v>
      </c>
      <c r="BQ261" s="48">
        <v>0.4</v>
      </c>
      <c r="BR261" s="50" t="s">
        <v>1312</v>
      </c>
      <c r="BS261" s="50">
        <v>0.1</v>
      </c>
    </row>
    <row r="262" spans="63:71" x14ac:dyDescent="0.35">
      <c r="BL262" s="45"/>
      <c r="BM262" s="45"/>
      <c r="BN262" s="46" t="s">
        <v>477</v>
      </c>
      <c r="BO262" s="46">
        <v>0.4</v>
      </c>
      <c r="BP262" s="48" t="s">
        <v>484</v>
      </c>
      <c r="BQ262" s="48">
        <v>0.7</v>
      </c>
      <c r="BR262" s="50" t="s">
        <v>520</v>
      </c>
      <c r="BS262" s="50">
        <v>0.15</v>
      </c>
    </row>
    <row r="263" spans="63:71" x14ac:dyDescent="0.35">
      <c r="BL263" s="45"/>
      <c r="BM263" s="45"/>
      <c r="BN263" s="46" t="s">
        <v>478</v>
      </c>
      <c r="BO263" s="46">
        <v>0.3</v>
      </c>
      <c r="BP263" s="48" t="s">
        <v>549</v>
      </c>
      <c r="BQ263" s="48">
        <v>0.3</v>
      </c>
      <c r="BR263" s="50" t="s">
        <v>521</v>
      </c>
      <c r="BS263" s="50">
        <v>0.4</v>
      </c>
    </row>
    <row r="264" spans="63:71" x14ac:dyDescent="0.35">
      <c r="BL264" s="45"/>
      <c r="BM264" s="45"/>
      <c r="BN264" s="46" t="s">
        <v>56</v>
      </c>
      <c r="BO264" s="46">
        <v>0.35</v>
      </c>
      <c r="BP264" s="48"/>
      <c r="BQ264" s="48"/>
      <c r="BR264" s="50" t="s">
        <v>56</v>
      </c>
      <c r="BS264" s="50">
        <v>0.4</v>
      </c>
    </row>
    <row r="265" spans="63:71" x14ac:dyDescent="0.35">
      <c r="BL265" s="45"/>
      <c r="BM265" s="45"/>
      <c r="BN265" s="46" t="s">
        <v>479</v>
      </c>
      <c r="BO265" s="46">
        <v>0.1</v>
      </c>
      <c r="BP265" s="48"/>
      <c r="BQ265" s="48"/>
      <c r="BR265" s="50" t="s">
        <v>522</v>
      </c>
      <c r="BS265" s="50">
        <v>0.2</v>
      </c>
    </row>
    <row r="266" spans="63:71" x14ac:dyDescent="0.35">
      <c r="BL266" s="45"/>
      <c r="BM266" s="45"/>
      <c r="BN266" s="46" t="s">
        <v>480</v>
      </c>
      <c r="BO266" s="46">
        <v>0.5</v>
      </c>
      <c r="BP266" s="48"/>
      <c r="BQ266" s="48"/>
      <c r="BR266" s="50" t="s">
        <v>523</v>
      </c>
      <c r="BS266" s="50">
        <v>0.25</v>
      </c>
    </row>
    <row r="267" spans="63:71" x14ac:dyDescent="0.35">
      <c r="BL267" s="45"/>
      <c r="BM267" s="45"/>
      <c r="BN267" s="46" t="s">
        <v>481</v>
      </c>
      <c r="BO267" s="46">
        <v>0.5</v>
      </c>
      <c r="BP267" s="48"/>
      <c r="BQ267" s="48"/>
      <c r="BR267" s="50"/>
      <c r="BS267" s="50"/>
    </row>
    <row r="268" spans="63:71" x14ac:dyDescent="0.35">
      <c r="BL268" s="45"/>
      <c r="BM268" s="45"/>
      <c r="BN268" s="46" t="s">
        <v>482</v>
      </c>
      <c r="BO268" s="46">
        <v>0.4</v>
      </c>
      <c r="BP268" s="48"/>
      <c r="BQ268" s="48"/>
      <c r="BR268" s="50"/>
      <c r="BS268" s="50"/>
    </row>
    <row r="269" spans="63:71" x14ac:dyDescent="0.35">
      <c r="BL269" s="45"/>
      <c r="BM269" s="45"/>
      <c r="BN269" s="46" t="s">
        <v>483</v>
      </c>
      <c r="BO269" s="46">
        <v>0.45</v>
      </c>
      <c r="BP269" s="48"/>
      <c r="BQ269" s="48"/>
      <c r="BR269" s="50"/>
      <c r="BS269" s="50"/>
    </row>
    <row r="270" spans="63:71" x14ac:dyDescent="0.35">
      <c r="BL270" s="45"/>
      <c r="BM270" s="45"/>
      <c r="BN270" s="46" t="s">
        <v>1311</v>
      </c>
      <c r="BO270" s="46">
        <v>0.15</v>
      </c>
      <c r="BP270" s="48"/>
      <c r="BQ270" s="48"/>
      <c r="BR270" s="50"/>
      <c r="BS270" s="50"/>
    </row>
    <row r="271" spans="63:71" x14ac:dyDescent="0.35">
      <c r="BL271" s="45"/>
      <c r="BM271" s="45"/>
      <c r="BN271" s="46" t="s">
        <v>484</v>
      </c>
      <c r="BO271" s="46">
        <v>0.7</v>
      </c>
      <c r="BP271" s="48"/>
      <c r="BQ271" s="48"/>
      <c r="BR271" s="50"/>
      <c r="BS271" s="50"/>
    </row>
    <row r="272" spans="63:71" x14ac:dyDescent="0.35">
      <c r="BL272" s="45"/>
      <c r="BM272" s="45"/>
      <c r="BN272" s="46" t="s">
        <v>485</v>
      </c>
      <c r="BO272" s="46">
        <v>0.5</v>
      </c>
      <c r="BP272" s="48"/>
      <c r="BQ272" s="48"/>
      <c r="BR272" s="50"/>
      <c r="BS272" s="50"/>
    </row>
    <row r="273" spans="63:71" x14ac:dyDescent="0.35">
      <c r="BL273" s="45"/>
      <c r="BM273" s="45"/>
      <c r="BN273" s="46" t="s">
        <v>486</v>
      </c>
      <c r="BO273" s="46">
        <v>0.2</v>
      </c>
      <c r="BP273" s="48"/>
      <c r="BQ273" s="48"/>
      <c r="BR273" s="50"/>
      <c r="BS273" s="50"/>
    </row>
    <row r="274" spans="63:71" x14ac:dyDescent="0.35">
      <c r="BL274" s="45"/>
      <c r="BM274" s="45"/>
      <c r="BN274" s="46" t="s">
        <v>1396</v>
      </c>
      <c r="BO274" s="46">
        <v>0.9</v>
      </c>
      <c r="BP274" s="48"/>
      <c r="BQ274" s="48"/>
      <c r="BR274" s="50"/>
      <c r="BS274" s="50"/>
    </row>
    <row r="275" spans="63:71" x14ac:dyDescent="0.35">
      <c r="BL275" s="45"/>
      <c r="BM275" s="45"/>
      <c r="BN275" s="46" t="s">
        <v>1398</v>
      </c>
      <c r="BO275" s="46">
        <v>0.5</v>
      </c>
      <c r="BP275" s="48"/>
      <c r="BQ275" s="48"/>
      <c r="BR275" s="50"/>
      <c r="BS275" s="50"/>
    </row>
    <row r="276" spans="63:71" x14ac:dyDescent="0.35">
      <c r="BL276" s="45"/>
      <c r="BM276" s="45"/>
      <c r="BN276" s="46"/>
      <c r="BO276" s="46"/>
      <c r="BP276" s="48"/>
      <c r="BQ276" s="48"/>
      <c r="BR276" s="50"/>
      <c r="BS276" s="50"/>
    </row>
    <row r="277" spans="63:71" x14ac:dyDescent="0.35">
      <c r="BK277" s="8">
        <v>7</v>
      </c>
      <c r="BL277" s="45" t="s">
        <v>428</v>
      </c>
      <c r="BM277" s="45">
        <v>0.1</v>
      </c>
      <c r="BN277" s="46"/>
      <c r="BO277" s="46"/>
      <c r="BP277" s="48" t="s">
        <v>428</v>
      </c>
      <c r="BQ277" s="48">
        <v>0.1</v>
      </c>
      <c r="BR277" s="50"/>
      <c r="BS277" s="50"/>
    </row>
    <row r="278" spans="63:71" x14ac:dyDescent="0.35">
      <c r="BL278" s="45" t="s">
        <v>52</v>
      </c>
      <c r="BM278" s="45">
        <v>0.15</v>
      </c>
      <c r="BN278" s="46"/>
      <c r="BO278" s="46"/>
      <c r="BP278" s="48" t="s">
        <v>52</v>
      </c>
      <c r="BQ278" s="48">
        <v>0.15</v>
      </c>
      <c r="BR278" s="50"/>
      <c r="BS278" s="50"/>
    </row>
    <row r="279" spans="63:71" x14ac:dyDescent="0.35">
      <c r="BL279" s="45" t="s">
        <v>429</v>
      </c>
      <c r="BM279" s="45">
        <v>0.2</v>
      </c>
      <c r="BN279" s="46"/>
      <c r="BO279" s="46"/>
      <c r="BP279" s="48" t="s">
        <v>429</v>
      </c>
      <c r="BQ279" s="48">
        <v>0.2</v>
      </c>
      <c r="BR279" s="50"/>
      <c r="BS279" s="50"/>
    </row>
    <row r="280" spans="63:71" x14ac:dyDescent="0.35">
      <c r="BL280" s="45" t="s">
        <v>53</v>
      </c>
      <c r="BM280" s="45">
        <v>0.25</v>
      </c>
      <c r="BN280" s="46"/>
      <c r="BO280" s="46"/>
      <c r="BP280" s="48" t="s">
        <v>53</v>
      </c>
      <c r="BQ280" s="48">
        <v>0.25</v>
      </c>
      <c r="BR280" s="50"/>
      <c r="BS280" s="50"/>
    </row>
    <row r="281" spans="63:71" x14ac:dyDescent="0.35">
      <c r="BL281" s="45" t="s">
        <v>430</v>
      </c>
      <c r="BM281" s="45">
        <v>0.1</v>
      </c>
      <c r="BN281" s="46"/>
      <c r="BO281" s="46"/>
      <c r="BP281" s="48" t="s">
        <v>430</v>
      </c>
      <c r="BQ281" s="48">
        <v>0.1</v>
      </c>
      <c r="BR281" s="50"/>
      <c r="BS281" s="50"/>
    </row>
    <row r="282" spans="63:71" x14ac:dyDescent="0.35">
      <c r="BL282" s="45" t="s">
        <v>431</v>
      </c>
      <c r="BM282" s="45">
        <v>0.2</v>
      </c>
      <c r="BN282" s="46"/>
      <c r="BO282" s="46"/>
      <c r="BP282" s="48" t="s">
        <v>431</v>
      </c>
      <c r="BQ282" s="48">
        <v>0.2</v>
      </c>
      <c r="BR282" s="50"/>
      <c r="BS282" s="50"/>
    </row>
    <row r="283" spans="63:71" x14ac:dyDescent="0.35">
      <c r="BL283" s="45" t="s">
        <v>432</v>
      </c>
      <c r="BM283" s="45">
        <v>0.3</v>
      </c>
      <c r="BN283" s="46"/>
      <c r="BO283" s="46"/>
      <c r="BP283" s="48" t="s">
        <v>432</v>
      </c>
      <c r="BQ283" s="48">
        <v>0.3</v>
      </c>
      <c r="BR283" s="50"/>
      <c r="BS283" s="50"/>
    </row>
    <row r="284" spans="63:71" x14ac:dyDescent="0.35">
      <c r="BL284" s="45" t="s">
        <v>433</v>
      </c>
      <c r="BM284" s="45">
        <v>0.4</v>
      </c>
      <c r="BN284" s="46"/>
      <c r="BO284" s="46"/>
      <c r="BP284" s="48" t="s">
        <v>433</v>
      </c>
      <c r="BQ284" s="48">
        <v>0.4</v>
      </c>
      <c r="BR284" s="50"/>
      <c r="BS284" s="50"/>
    </row>
    <row r="285" spans="63:71" x14ac:dyDescent="0.35">
      <c r="BL285" s="45" t="s">
        <v>434</v>
      </c>
      <c r="BM285" s="45">
        <v>0.05</v>
      </c>
      <c r="BN285" s="46"/>
      <c r="BO285" s="46"/>
      <c r="BP285" s="48" t="s">
        <v>434</v>
      </c>
      <c r="BQ285" s="48">
        <v>0.05</v>
      </c>
      <c r="BR285" s="50"/>
      <c r="BS285" s="50"/>
    </row>
    <row r="286" spans="63:71" x14ac:dyDescent="0.35">
      <c r="BL286" s="45" t="s">
        <v>435</v>
      </c>
      <c r="BM286" s="45">
        <v>0.2</v>
      </c>
      <c r="BN286" s="46"/>
      <c r="BO286" s="46"/>
      <c r="BP286" s="48" t="s">
        <v>436</v>
      </c>
      <c r="BQ286" s="48">
        <v>0.3</v>
      </c>
      <c r="BR286" s="50"/>
      <c r="BS286" s="50"/>
    </row>
    <row r="287" spans="63:71" x14ac:dyDescent="0.35">
      <c r="BL287" s="45" t="s">
        <v>436</v>
      </c>
      <c r="BM287" s="45">
        <v>0.3</v>
      </c>
      <c r="BN287" s="46"/>
      <c r="BO287" s="46"/>
      <c r="BP287" s="48" t="s">
        <v>437</v>
      </c>
      <c r="BQ287" s="48">
        <v>0.5</v>
      </c>
      <c r="BR287" s="50"/>
      <c r="BS287" s="50"/>
    </row>
    <row r="288" spans="63:71" x14ac:dyDescent="0.35">
      <c r="BL288" s="45" t="s">
        <v>437</v>
      </c>
      <c r="BM288" s="45">
        <v>0.5</v>
      </c>
      <c r="BN288" s="46"/>
      <c r="BO288" s="46"/>
      <c r="BP288" s="48" t="s">
        <v>438</v>
      </c>
      <c r="BQ288" s="48">
        <v>0.6</v>
      </c>
      <c r="BR288" s="50"/>
      <c r="BS288" s="50"/>
    </row>
    <row r="289" spans="64:71" x14ac:dyDescent="0.35">
      <c r="BL289" s="45" t="s">
        <v>438</v>
      </c>
      <c r="BM289" s="45">
        <v>0.6</v>
      </c>
      <c r="BN289" s="46"/>
      <c r="BO289" s="46"/>
      <c r="BP289" s="48" t="s">
        <v>442</v>
      </c>
      <c r="BQ289" s="48">
        <v>0.4</v>
      </c>
      <c r="BR289" s="50"/>
      <c r="BS289" s="50"/>
    </row>
    <row r="290" spans="64:71" x14ac:dyDescent="0.35">
      <c r="BL290" s="45" t="s">
        <v>439</v>
      </c>
      <c r="BM290" s="45">
        <v>0.8</v>
      </c>
      <c r="BN290" s="46"/>
      <c r="BO290" s="46"/>
      <c r="BP290" s="48" t="s">
        <v>443</v>
      </c>
      <c r="BQ290" s="48">
        <v>0.6</v>
      </c>
      <c r="BR290" s="50"/>
      <c r="BS290" s="50"/>
    </row>
    <row r="291" spans="64:71" x14ac:dyDescent="0.35">
      <c r="BL291" s="45" t="s">
        <v>440</v>
      </c>
      <c r="BM291" s="45">
        <v>1.4</v>
      </c>
      <c r="BN291" s="46"/>
      <c r="BO291" s="46"/>
      <c r="BP291" s="48" t="s">
        <v>444</v>
      </c>
      <c r="BQ291" s="48">
        <v>0.7</v>
      </c>
      <c r="BR291" s="50"/>
      <c r="BS291" s="50"/>
    </row>
    <row r="292" spans="64:71" x14ac:dyDescent="0.35">
      <c r="BL292" s="45" t="s">
        <v>441</v>
      </c>
      <c r="BM292" s="45">
        <v>0.1</v>
      </c>
      <c r="BN292" s="46"/>
      <c r="BO292" s="46"/>
      <c r="BP292" s="48" t="s">
        <v>446</v>
      </c>
      <c r="BQ292" s="48">
        <v>2.5000000000000001E-2</v>
      </c>
      <c r="BR292" s="50"/>
      <c r="BS292" s="50"/>
    </row>
    <row r="293" spans="64:71" x14ac:dyDescent="0.35">
      <c r="BL293" s="45" t="s">
        <v>442</v>
      </c>
      <c r="BM293" s="45">
        <v>0.4</v>
      </c>
      <c r="BN293" s="46"/>
      <c r="BO293" s="46"/>
      <c r="BP293" s="48" t="s">
        <v>447</v>
      </c>
      <c r="BQ293" s="48">
        <v>0.125</v>
      </c>
      <c r="BR293" s="50"/>
      <c r="BS293" s="50"/>
    </row>
    <row r="294" spans="64:71" x14ac:dyDescent="0.35">
      <c r="BL294" s="45" t="s">
        <v>443</v>
      </c>
      <c r="BM294" s="45">
        <v>0.6</v>
      </c>
      <c r="BN294" s="46"/>
      <c r="BO294" s="46"/>
      <c r="BP294" s="48" t="s">
        <v>1305</v>
      </c>
      <c r="BQ294" s="48">
        <v>0.17499999999999999</v>
      </c>
      <c r="BR294" s="50"/>
      <c r="BS294" s="50"/>
    </row>
    <row r="295" spans="64:71" x14ac:dyDescent="0.35">
      <c r="BL295" s="45" t="s">
        <v>444</v>
      </c>
      <c r="BM295" s="45">
        <v>0.7</v>
      </c>
      <c r="BN295" s="46"/>
      <c r="BO295" s="46"/>
      <c r="BP295" s="48" t="s">
        <v>448</v>
      </c>
      <c r="BQ295" s="48">
        <v>0.22500000000000001</v>
      </c>
      <c r="BR295" s="50"/>
      <c r="BS295" s="50"/>
    </row>
    <row r="296" spans="64:71" x14ac:dyDescent="0.35">
      <c r="BL296" s="45" t="s">
        <v>445</v>
      </c>
      <c r="BM296" s="45">
        <v>0.1</v>
      </c>
      <c r="BN296" s="46"/>
      <c r="BO296" s="46"/>
      <c r="BP296" s="48" t="s">
        <v>450</v>
      </c>
      <c r="BQ296" s="48">
        <v>0.4</v>
      </c>
      <c r="BR296" s="50"/>
      <c r="BS296" s="50"/>
    </row>
    <row r="297" spans="64:71" x14ac:dyDescent="0.35">
      <c r="BL297" s="45" t="s">
        <v>446</v>
      </c>
      <c r="BM297" s="45">
        <v>2.5000000000000001E-2</v>
      </c>
      <c r="BN297" s="46"/>
      <c r="BO297" s="46"/>
      <c r="BP297" s="48" t="s">
        <v>451</v>
      </c>
      <c r="BQ297" s="48">
        <v>0.5</v>
      </c>
      <c r="BR297" s="50"/>
      <c r="BS297" s="50"/>
    </row>
    <row r="298" spans="64:71" x14ac:dyDescent="0.35">
      <c r="BL298" s="45" t="s">
        <v>447</v>
      </c>
      <c r="BM298" s="45">
        <v>0.125</v>
      </c>
      <c r="BN298" s="46"/>
      <c r="BO298" s="46"/>
      <c r="BP298" s="48" t="s">
        <v>452</v>
      </c>
      <c r="BQ298" s="48">
        <v>0.6</v>
      </c>
      <c r="BR298" s="50"/>
      <c r="BS298" s="50"/>
    </row>
    <row r="299" spans="64:71" x14ac:dyDescent="0.35">
      <c r="BL299" s="45" t="s">
        <v>1305</v>
      </c>
      <c r="BM299" s="45">
        <v>0.17499999999999999</v>
      </c>
      <c r="BN299" s="46"/>
      <c r="BO299" s="46"/>
      <c r="BP299" s="48" t="s">
        <v>453</v>
      </c>
      <c r="BQ299" s="48">
        <v>0.7</v>
      </c>
      <c r="BR299" s="50"/>
      <c r="BS299" s="50"/>
    </row>
    <row r="300" spans="64:71" x14ac:dyDescent="0.35">
      <c r="BL300" s="45" t="s">
        <v>448</v>
      </c>
      <c r="BM300" s="45">
        <v>0.22500000000000001</v>
      </c>
      <c r="BN300" s="46"/>
      <c r="BO300" s="46"/>
      <c r="BP300" s="48" t="s">
        <v>1306</v>
      </c>
      <c r="BQ300" s="48">
        <v>0.6</v>
      </c>
      <c r="BR300" s="50"/>
      <c r="BS300" s="50"/>
    </row>
    <row r="301" spans="64:71" x14ac:dyDescent="0.35">
      <c r="BL301" s="45" t="s">
        <v>449</v>
      </c>
      <c r="BM301" s="45">
        <v>0.3</v>
      </c>
      <c r="BN301" s="46"/>
      <c r="BO301" s="46"/>
      <c r="BP301" s="48" t="s">
        <v>1307</v>
      </c>
      <c r="BQ301" s="48">
        <v>0.7</v>
      </c>
      <c r="BR301" s="50"/>
      <c r="BS301" s="50"/>
    </row>
    <row r="302" spans="64:71" x14ac:dyDescent="0.35">
      <c r="BL302" s="45" t="s">
        <v>450</v>
      </c>
      <c r="BM302" s="45">
        <v>0.4</v>
      </c>
      <c r="BN302" s="46"/>
      <c r="BO302" s="46"/>
      <c r="BP302" s="48" t="s">
        <v>455</v>
      </c>
      <c r="BQ302" s="48">
        <v>0.9</v>
      </c>
      <c r="BR302" s="50"/>
      <c r="BS302" s="50"/>
    </row>
    <row r="303" spans="64:71" x14ac:dyDescent="0.35">
      <c r="BL303" s="45" t="s">
        <v>451</v>
      </c>
      <c r="BM303" s="45">
        <v>0.5</v>
      </c>
      <c r="BN303" s="46"/>
      <c r="BO303" s="46"/>
      <c r="BP303" s="48" t="s">
        <v>456</v>
      </c>
      <c r="BQ303" s="48">
        <v>1</v>
      </c>
      <c r="BR303" s="50"/>
      <c r="BS303" s="50"/>
    </row>
    <row r="304" spans="64:71" x14ac:dyDescent="0.35">
      <c r="BL304" s="45" t="s">
        <v>452</v>
      </c>
      <c r="BM304" s="45">
        <v>0.6</v>
      </c>
      <c r="BN304" s="46"/>
      <c r="BO304" s="46"/>
      <c r="BP304" s="48" t="s">
        <v>441</v>
      </c>
      <c r="BQ304" s="48">
        <v>0.1</v>
      </c>
      <c r="BR304" s="50"/>
      <c r="BS304" s="50"/>
    </row>
    <row r="305" spans="63:71" x14ac:dyDescent="0.35">
      <c r="BL305" s="45" t="s">
        <v>453</v>
      </c>
      <c r="BM305" s="45">
        <v>0.7</v>
      </c>
      <c r="BN305" s="46"/>
      <c r="BO305" s="46"/>
      <c r="BP305" s="48" t="s">
        <v>445</v>
      </c>
      <c r="BQ305" s="48">
        <v>0.1</v>
      </c>
      <c r="BR305" s="50"/>
      <c r="BS305" s="50"/>
    </row>
    <row r="306" spans="63:71" x14ac:dyDescent="0.35">
      <c r="BL306" s="45" t="s">
        <v>454</v>
      </c>
      <c r="BM306" s="45">
        <v>0.8</v>
      </c>
      <c r="BN306" s="46"/>
      <c r="BO306" s="46"/>
      <c r="BP306" s="48"/>
      <c r="BQ306" s="48"/>
      <c r="BR306" s="50"/>
      <c r="BS306" s="50"/>
    </row>
    <row r="307" spans="63:71" x14ac:dyDescent="0.35">
      <c r="BL307" s="45" t="s">
        <v>1306</v>
      </c>
      <c r="BM307" s="45">
        <v>0.6</v>
      </c>
      <c r="BN307" s="46"/>
      <c r="BO307" s="46"/>
      <c r="BP307" s="48"/>
      <c r="BQ307" s="48"/>
      <c r="BR307" s="50"/>
      <c r="BS307" s="50"/>
    </row>
    <row r="308" spans="63:71" x14ac:dyDescent="0.35">
      <c r="BL308" s="45" t="s">
        <v>1307</v>
      </c>
      <c r="BM308" s="45">
        <v>0.7</v>
      </c>
      <c r="BN308" s="46"/>
      <c r="BO308" s="46"/>
      <c r="BP308" s="48"/>
      <c r="BQ308" s="48"/>
      <c r="BR308" s="50"/>
      <c r="BS308" s="50"/>
    </row>
    <row r="309" spans="63:71" x14ac:dyDescent="0.35">
      <c r="BL309" s="45" t="s">
        <v>455</v>
      </c>
      <c r="BM309" s="45">
        <v>0.9</v>
      </c>
      <c r="BN309" s="46"/>
      <c r="BO309" s="46"/>
      <c r="BP309" s="48"/>
      <c r="BQ309" s="48"/>
      <c r="BR309" s="50"/>
      <c r="BS309" s="50"/>
    </row>
    <row r="310" spans="63:71" x14ac:dyDescent="0.35">
      <c r="BL310" s="45" t="s">
        <v>456</v>
      </c>
      <c r="BM310" s="45">
        <v>1</v>
      </c>
      <c r="BN310" s="46"/>
      <c r="BO310" s="46"/>
      <c r="BP310" s="48"/>
      <c r="BQ310" s="48"/>
      <c r="BR310" s="50"/>
      <c r="BS310" s="50"/>
    </row>
    <row r="311" spans="63:71" x14ac:dyDescent="0.35">
      <c r="BL311" s="45" t="s">
        <v>1296</v>
      </c>
      <c r="BM311" s="45">
        <v>0.35</v>
      </c>
      <c r="BN311" s="46"/>
      <c r="BO311" s="46"/>
      <c r="BP311" s="48"/>
      <c r="BQ311" s="48"/>
      <c r="BR311" s="50"/>
      <c r="BS311" s="50"/>
    </row>
    <row r="312" spans="63:71" x14ac:dyDescent="0.35">
      <c r="BL312" s="45" t="s">
        <v>1388</v>
      </c>
      <c r="BM312" s="45">
        <v>0.8</v>
      </c>
      <c r="BN312" s="46"/>
      <c r="BO312" s="46"/>
      <c r="BP312" s="48"/>
      <c r="BQ312" s="48"/>
      <c r="BR312" s="50"/>
      <c r="BS312" s="50"/>
    </row>
    <row r="313" spans="63:71" x14ac:dyDescent="0.35">
      <c r="BL313" s="45" t="s">
        <v>1394</v>
      </c>
      <c r="BM313" s="45">
        <v>0.9</v>
      </c>
      <c r="BN313" s="46"/>
      <c r="BO313" s="46"/>
      <c r="BP313" s="48"/>
      <c r="BQ313" s="48"/>
      <c r="BR313" s="50"/>
      <c r="BS313" s="50"/>
    </row>
    <row r="314" spans="63:71" x14ac:dyDescent="0.35">
      <c r="BL314" s="45"/>
      <c r="BM314" s="45"/>
      <c r="BN314" s="46"/>
      <c r="BO314" s="46"/>
      <c r="BP314" s="48"/>
      <c r="BQ314" s="48"/>
      <c r="BR314" s="50"/>
      <c r="BS314" s="50"/>
    </row>
    <row r="315" spans="63:71" x14ac:dyDescent="0.35">
      <c r="BL315" s="45"/>
      <c r="BM315" s="45"/>
      <c r="BN315" s="46"/>
      <c r="BO315" s="46"/>
      <c r="BP315" s="48"/>
      <c r="BQ315" s="48"/>
      <c r="BR315" s="50"/>
      <c r="BS315" s="50"/>
    </row>
    <row r="316" spans="63:71" x14ac:dyDescent="0.35">
      <c r="BL316" s="45"/>
      <c r="BM316" s="45"/>
      <c r="BN316" s="46"/>
      <c r="BO316" s="46"/>
      <c r="BP316" s="48"/>
      <c r="BQ316" s="48"/>
      <c r="BR316" s="50"/>
      <c r="BS316" s="50"/>
    </row>
    <row r="317" spans="63:71" x14ac:dyDescent="0.35">
      <c r="BK317" s="8">
        <v>8</v>
      </c>
      <c r="BL317" s="45" t="s">
        <v>457</v>
      </c>
      <c r="BM317" s="45">
        <v>0.2</v>
      </c>
      <c r="BN317" s="46" t="s">
        <v>487</v>
      </c>
      <c r="BO317" s="46">
        <v>0.2</v>
      </c>
      <c r="BP317" s="48" t="s">
        <v>502</v>
      </c>
      <c r="BQ317" s="48">
        <v>0.3</v>
      </c>
      <c r="BR317" s="50" t="s">
        <v>524</v>
      </c>
      <c r="BS317" s="50">
        <v>0.2</v>
      </c>
    </row>
    <row r="318" spans="63:71" x14ac:dyDescent="0.35">
      <c r="BL318" s="45" t="s">
        <v>458</v>
      </c>
      <c r="BM318" s="45">
        <v>0.5</v>
      </c>
      <c r="BN318" s="46" t="s">
        <v>488</v>
      </c>
      <c r="BO318" s="46">
        <v>0.3</v>
      </c>
      <c r="BP318" s="48" t="s">
        <v>503</v>
      </c>
      <c r="BQ318" s="48">
        <v>0.3</v>
      </c>
      <c r="BR318" s="50" t="s">
        <v>525</v>
      </c>
      <c r="BS318" s="50">
        <v>0.1</v>
      </c>
    </row>
    <row r="319" spans="63:71" x14ac:dyDescent="0.35">
      <c r="BL319" s="45" t="s">
        <v>459</v>
      </c>
      <c r="BM319" s="45">
        <v>0.4</v>
      </c>
      <c r="BN319" s="46" t="s">
        <v>489</v>
      </c>
      <c r="BO319" s="46">
        <v>0.1</v>
      </c>
      <c r="BP319" s="48" t="s">
        <v>504</v>
      </c>
      <c r="BQ319" s="48">
        <v>0.2</v>
      </c>
      <c r="BR319" s="50" t="s">
        <v>526</v>
      </c>
      <c r="BS319" s="50">
        <v>0.05</v>
      </c>
    </row>
    <row r="320" spans="63:71" x14ac:dyDescent="0.35">
      <c r="BL320" s="45" t="s">
        <v>460</v>
      </c>
      <c r="BM320" s="45">
        <v>0.2</v>
      </c>
      <c r="BN320" s="46" t="s">
        <v>490</v>
      </c>
      <c r="BO320" s="46">
        <v>0.2</v>
      </c>
      <c r="BP320" s="48" t="s">
        <v>505</v>
      </c>
      <c r="BQ320" s="48">
        <v>0.1</v>
      </c>
      <c r="BR320" s="50" t="s">
        <v>527</v>
      </c>
      <c r="BS320" s="50">
        <v>0.1</v>
      </c>
    </row>
    <row r="321" spans="64:71" x14ac:dyDescent="0.35">
      <c r="BL321" s="45" t="s">
        <v>461</v>
      </c>
      <c r="BM321" s="45">
        <v>0.4</v>
      </c>
      <c r="BN321" s="46" t="s">
        <v>491</v>
      </c>
      <c r="BO321" s="46">
        <v>0.1</v>
      </c>
      <c r="BP321" s="48" t="s">
        <v>506</v>
      </c>
      <c r="BQ321" s="48">
        <v>0.3</v>
      </c>
      <c r="BR321" s="50" t="s">
        <v>528</v>
      </c>
      <c r="BS321" s="50">
        <v>0.2</v>
      </c>
    </row>
    <row r="322" spans="64:71" x14ac:dyDescent="0.35">
      <c r="BL322" s="45" t="s">
        <v>462</v>
      </c>
      <c r="BM322" s="45">
        <v>2.5000000000000001E-2</v>
      </c>
      <c r="BN322" s="46" t="s">
        <v>492</v>
      </c>
      <c r="BO322" s="46">
        <v>0.2</v>
      </c>
      <c r="BP322" s="48" t="s">
        <v>507</v>
      </c>
      <c r="BQ322" s="48">
        <v>0.2</v>
      </c>
      <c r="BR322" s="50" t="s">
        <v>529</v>
      </c>
      <c r="BS322" s="50">
        <v>0.2</v>
      </c>
    </row>
    <row r="323" spans="64:71" x14ac:dyDescent="0.35">
      <c r="BL323" s="45" t="s">
        <v>463</v>
      </c>
      <c r="BM323" s="45">
        <v>0.3</v>
      </c>
      <c r="BN323" s="46" t="s">
        <v>493</v>
      </c>
      <c r="BO323" s="46">
        <v>0.05</v>
      </c>
      <c r="BP323" s="48" t="s">
        <v>508</v>
      </c>
      <c r="BQ323" s="48">
        <v>0.2</v>
      </c>
      <c r="BR323" s="50" t="s">
        <v>530</v>
      </c>
      <c r="BS323" s="50">
        <v>0.2</v>
      </c>
    </row>
    <row r="324" spans="64:71" x14ac:dyDescent="0.35">
      <c r="BL324" s="45" t="s">
        <v>464</v>
      </c>
      <c r="BM324" s="45">
        <v>0.1</v>
      </c>
      <c r="BN324" s="46" t="s">
        <v>494</v>
      </c>
      <c r="BO324" s="46">
        <v>0.2</v>
      </c>
      <c r="BP324" s="48" t="s">
        <v>509</v>
      </c>
      <c r="BQ324" s="48">
        <v>0.1</v>
      </c>
      <c r="BR324" s="50" t="s">
        <v>531</v>
      </c>
      <c r="BS324" s="50">
        <v>0.2</v>
      </c>
    </row>
    <row r="325" spans="64:71" x14ac:dyDescent="0.35">
      <c r="BL325" s="45" t="s">
        <v>465</v>
      </c>
      <c r="BM325" s="45">
        <v>2.5000000000000001E-2</v>
      </c>
      <c r="BN325" s="46" t="s">
        <v>495</v>
      </c>
      <c r="BO325" s="46">
        <v>0.05</v>
      </c>
      <c r="BP325" s="48" t="s">
        <v>510</v>
      </c>
      <c r="BQ325" s="48">
        <v>0.1</v>
      </c>
      <c r="BR325" s="50" t="s">
        <v>532</v>
      </c>
      <c r="BS325" s="50">
        <v>0.05</v>
      </c>
    </row>
    <row r="326" spans="64:71" x14ac:dyDescent="0.35">
      <c r="BL326" s="45" t="s">
        <v>466</v>
      </c>
      <c r="BM326" s="45">
        <v>0.15</v>
      </c>
      <c r="BN326" s="46" t="s">
        <v>496</v>
      </c>
      <c r="BO326" s="46">
        <v>0.1</v>
      </c>
      <c r="BP326" s="48" t="s">
        <v>511</v>
      </c>
      <c r="BQ326" s="48">
        <v>0.05</v>
      </c>
      <c r="BR326" s="50" t="s">
        <v>533</v>
      </c>
      <c r="BS326" s="50">
        <v>0.2</v>
      </c>
    </row>
    <row r="327" spans="64:71" x14ac:dyDescent="0.35">
      <c r="BL327" s="45" t="s">
        <v>467</v>
      </c>
      <c r="BM327" s="45">
        <v>0.05</v>
      </c>
      <c r="BN327" s="46" t="s">
        <v>497</v>
      </c>
      <c r="BO327" s="46">
        <v>0.1</v>
      </c>
      <c r="BP327" s="48" t="s">
        <v>512</v>
      </c>
      <c r="BQ327" s="48">
        <v>0.1</v>
      </c>
      <c r="BR327" s="50" t="s">
        <v>534</v>
      </c>
      <c r="BS327" s="50">
        <v>0.3</v>
      </c>
    </row>
    <row r="328" spans="64:71" x14ac:dyDescent="0.35">
      <c r="BL328" s="45" t="s">
        <v>468</v>
      </c>
      <c r="BM328" s="45">
        <v>0.1</v>
      </c>
      <c r="BN328" s="46" t="s">
        <v>498</v>
      </c>
      <c r="BO328" s="46">
        <v>0.2</v>
      </c>
      <c r="BP328" s="48" t="s">
        <v>513</v>
      </c>
      <c r="BQ328" s="48">
        <v>0.05</v>
      </c>
      <c r="BR328" s="50" t="s">
        <v>535</v>
      </c>
      <c r="BS328" s="50">
        <v>0.3</v>
      </c>
    </row>
    <row r="329" spans="64:71" x14ac:dyDescent="0.35">
      <c r="BL329" s="45" t="s">
        <v>469</v>
      </c>
      <c r="BM329" s="45">
        <v>0.2</v>
      </c>
      <c r="BN329" s="46" t="s">
        <v>499</v>
      </c>
      <c r="BO329" s="46">
        <v>0.1</v>
      </c>
      <c r="BP329" s="48" t="s">
        <v>514</v>
      </c>
      <c r="BQ329" s="48">
        <v>0.3</v>
      </c>
      <c r="BR329" s="50" t="s">
        <v>536</v>
      </c>
      <c r="BS329" s="50">
        <v>0.3</v>
      </c>
    </row>
    <row r="330" spans="64:71" x14ac:dyDescent="0.35">
      <c r="BL330" s="45" t="s">
        <v>470</v>
      </c>
      <c r="BM330" s="45">
        <v>0.2</v>
      </c>
      <c r="BN330" s="46" t="s">
        <v>500</v>
      </c>
      <c r="BO330" s="46">
        <v>0.2</v>
      </c>
      <c r="BP330" s="48" t="s">
        <v>515</v>
      </c>
      <c r="BQ330" s="48">
        <v>0.05</v>
      </c>
      <c r="BR330" s="50" t="s">
        <v>537</v>
      </c>
      <c r="BS330" s="50">
        <v>0.2</v>
      </c>
    </row>
    <row r="331" spans="64:71" x14ac:dyDescent="0.35">
      <c r="BL331" s="45" t="s">
        <v>471</v>
      </c>
      <c r="BM331" s="45">
        <v>0.1</v>
      </c>
      <c r="BN331" s="46" t="s">
        <v>501</v>
      </c>
      <c r="BO331" s="46">
        <v>0.05</v>
      </c>
      <c r="BP331" s="48" t="s">
        <v>516</v>
      </c>
      <c r="BQ331" s="48">
        <v>0.1</v>
      </c>
      <c r="BR331" s="50" t="s">
        <v>538</v>
      </c>
      <c r="BS331" s="50">
        <v>0.2</v>
      </c>
    </row>
    <row r="332" spans="64:71" x14ac:dyDescent="0.35">
      <c r="BL332" s="45" t="s">
        <v>472</v>
      </c>
      <c r="BM332" s="45">
        <v>0.05</v>
      </c>
      <c r="BN332" s="46"/>
      <c r="BO332" s="46"/>
      <c r="BP332" s="48" t="s">
        <v>1289</v>
      </c>
      <c r="BQ332" s="48">
        <v>0.4</v>
      </c>
      <c r="BR332" s="50" t="s">
        <v>539</v>
      </c>
      <c r="BS332" s="50">
        <v>0.1</v>
      </c>
    </row>
    <row r="333" spans="64:71" x14ac:dyDescent="0.35">
      <c r="BL333" s="45"/>
      <c r="BM333" s="45"/>
      <c r="BN333" s="46"/>
      <c r="BO333" s="46"/>
      <c r="BP333" s="48" t="s">
        <v>1295</v>
      </c>
      <c r="BQ333" s="48">
        <v>0.05</v>
      </c>
      <c r="BR333" s="50" t="s">
        <v>540</v>
      </c>
      <c r="BS333" s="50">
        <v>0.1</v>
      </c>
    </row>
    <row r="334" spans="64:71" x14ac:dyDescent="0.35">
      <c r="BL334" s="45"/>
      <c r="BM334" s="45"/>
      <c r="BN334" s="46"/>
      <c r="BO334" s="46"/>
      <c r="BP334" s="48" t="s">
        <v>1384</v>
      </c>
      <c r="BQ334" s="48">
        <v>0.25</v>
      </c>
      <c r="BR334" s="50" t="s">
        <v>541</v>
      </c>
      <c r="BS334" s="50">
        <v>0.1</v>
      </c>
    </row>
    <row r="335" spans="64:71" x14ac:dyDescent="0.35">
      <c r="BL335" s="45"/>
      <c r="BM335" s="45"/>
      <c r="BN335" s="46"/>
      <c r="BO335" s="46"/>
      <c r="BP335" s="48" t="s">
        <v>1385</v>
      </c>
      <c r="BQ335" s="48">
        <v>0.6</v>
      </c>
      <c r="BR335" s="50" t="s">
        <v>542</v>
      </c>
      <c r="BS335" s="50">
        <v>0.1</v>
      </c>
    </row>
    <row r="336" spans="64:71" x14ac:dyDescent="0.35">
      <c r="BL336" s="45"/>
      <c r="BM336" s="45"/>
      <c r="BN336" s="46"/>
      <c r="BO336" s="46"/>
      <c r="BP336" s="48" t="s">
        <v>1386</v>
      </c>
      <c r="BQ336" s="48">
        <v>0.5</v>
      </c>
      <c r="BR336" s="50" t="s">
        <v>543</v>
      </c>
      <c r="BS336" s="50">
        <v>0.05</v>
      </c>
    </row>
    <row r="337" spans="64:71" x14ac:dyDescent="0.35">
      <c r="BL337" s="45"/>
      <c r="BM337" s="45"/>
      <c r="BN337" s="46"/>
      <c r="BO337" s="46"/>
      <c r="BP337" s="48" t="s">
        <v>1387</v>
      </c>
      <c r="BQ337" s="48">
        <v>0.7</v>
      </c>
      <c r="BR337" s="50" t="s">
        <v>544</v>
      </c>
      <c r="BS337" s="50">
        <v>0.05</v>
      </c>
    </row>
    <row r="338" spans="64:71" x14ac:dyDescent="0.35">
      <c r="BL338" s="45"/>
      <c r="BM338" s="45"/>
      <c r="BN338" s="46"/>
      <c r="BO338" s="46"/>
      <c r="BP338" s="48"/>
      <c r="BQ338" s="48"/>
      <c r="BR338" s="50" t="s">
        <v>545</v>
      </c>
      <c r="BS338" s="50">
        <v>0.1</v>
      </c>
    </row>
    <row r="339" spans="64:71" x14ac:dyDescent="0.35">
      <c r="BL339" s="45"/>
      <c r="BM339" s="45"/>
      <c r="BN339" s="46"/>
      <c r="BO339" s="46"/>
      <c r="BP339" s="48"/>
      <c r="BQ339" s="48"/>
      <c r="BR339" s="50" t="s">
        <v>546</v>
      </c>
      <c r="BS339" s="50">
        <v>0.05</v>
      </c>
    </row>
    <row r="340" spans="64:71" x14ac:dyDescent="0.35">
      <c r="BL340" s="45"/>
      <c r="BM340" s="45"/>
      <c r="BN340" s="46"/>
      <c r="BO340" s="46"/>
      <c r="BP340" s="48"/>
      <c r="BQ340" s="48"/>
      <c r="BR340" s="50" t="s">
        <v>547</v>
      </c>
      <c r="BS340" s="50">
        <v>0.1</v>
      </c>
    </row>
    <row r="341" spans="64:71" x14ac:dyDescent="0.35">
      <c r="BL341" s="45"/>
      <c r="BM341" s="45"/>
      <c r="BN341" s="46"/>
      <c r="BO341" s="46"/>
      <c r="BP341" s="48"/>
      <c r="BQ341" s="48"/>
      <c r="BR341" s="50" t="s">
        <v>548</v>
      </c>
      <c r="BS341" s="50">
        <v>0.1</v>
      </c>
    </row>
    <row r="342" spans="64:71" x14ac:dyDescent="0.35">
      <c r="BL342" s="45"/>
      <c r="BM342" s="45"/>
      <c r="BN342" s="46"/>
      <c r="BO342" s="46"/>
      <c r="BP342" s="48"/>
      <c r="BQ342" s="48"/>
      <c r="BR342" s="50" t="s">
        <v>1298</v>
      </c>
      <c r="BS342" s="50">
        <v>0.1</v>
      </c>
    </row>
    <row r="343" spans="64:71" x14ac:dyDescent="0.35">
      <c r="BL343" s="45"/>
      <c r="BM343" s="45"/>
      <c r="BN343" s="46"/>
      <c r="BO343" s="46"/>
      <c r="BP343" s="48"/>
      <c r="BQ343" s="48"/>
      <c r="BR343" s="50" t="s">
        <v>1299</v>
      </c>
      <c r="BS343" s="50">
        <v>0.35</v>
      </c>
    </row>
    <row r="344" spans="64:71" x14ac:dyDescent="0.35">
      <c r="BL344" s="45"/>
      <c r="BM344" s="45"/>
      <c r="BN344" s="46"/>
      <c r="BO344" s="46"/>
      <c r="BP344" s="48"/>
      <c r="BQ344" s="48"/>
      <c r="BR344" s="50" t="s">
        <v>1391</v>
      </c>
      <c r="BS344" s="50">
        <v>0.15</v>
      </c>
    </row>
    <row r="345" spans="64:71" x14ac:dyDescent="0.35">
      <c r="BL345" s="45"/>
      <c r="BM345" s="45"/>
      <c r="BN345" s="46"/>
      <c r="BO345" s="46"/>
      <c r="BP345" s="48"/>
      <c r="BQ345" s="48"/>
      <c r="BR345" s="50" t="s">
        <v>1393</v>
      </c>
      <c r="BS345" s="50">
        <v>0.4</v>
      </c>
    </row>
  </sheetData>
  <sortState xmlns:xlrd2="http://schemas.microsoft.com/office/spreadsheetml/2017/richdata2" ref="E140:E189">
    <sortCondition ref="E140:E189"/>
  </sortState>
  <mergeCells count="4">
    <mergeCell ref="BR1:BS1"/>
    <mergeCell ref="BE1:BF1"/>
    <mergeCell ref="BL1:BM1"/>
    <mergeCell ref="BN1:BO1"/>
  </mergeCells>
  <phoneticPr fontId="9"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H389"/>
  <sheetViews>
    <sheetView topLeftCell="N24" zoomScale="160" zoomScaleNormal="160" workbookViewId="0">
      <selection activeCell="U31" sqref="U31"/>
    </sheetView>
  </sheetViews>
  <sheetFormatPr baseColWidth="10" defaultColWidth="9.1796875" defaultRowHeight="14.5" x14ac:dyDescent="0.35"/>
  <cols>
    <col min="2" max="2" width="15.453125" style="3" bestFit="1" customWidth="1"/>
    <col min="3" max="3" width="10.81640625" customWidth="1"/>
    <col min="5" max="5" width="9.1796875" style="3"/>
    <col min="8" max="8" width="9.1796875" style="3"/>
    <col min="11" max="11" width="9.1796875" style="3"/>
    <col min="17" max="17" width="13.7265625" customWidth="1"/>
    <col min="18" max="18" width="9.1796875" style="132"/>
    <col min="20" max="20" width="9.81640625" bestFit="1" customWidth="1"/>
    <col min="23" max="23" width="9.81640625" bestFit="1" customWidth="1"/>
    <col min="30" max="30" width="9.81640625" bestFit="1" customWidth="1"/>
  </cols>
  <sheetData>
    <row r="1" spans="2:34" ht="15.5" x14ac:dyDescent="0.35">
      <c r="B1" s="410" t="s">
        <v>2380</v>
      </c>
      <c r="C1" s="412"/>
      <c r="D1" s="412"/>
      <c r="E1" s="412"/>
      <c r="F1" s="412"/>
      <c r="G1" s="412"/>
      <c r="H1" s="412"/>
      <c r="I1" s="412"/>
      <c r="J1" s="412"/>
      <c r="K1" s="412"/>
      <c r="L1" s="411"/>
    </row>
    <row r="2" spans="2:34" ht="15.5" x14ac:dyDescent="0.35">
      <c r="B2" s="412" t="s">
        <v>1467</v>
      </c>
      <c r="C2" s="412"/>
      <c r="D2" s="134"/>
      <c r="E2" s="412" t="s">
        <v>1468</v>
      </c>
      <c r="F2" s="412"/>
      <c r="G2" s="134"/>
      <c r="H2" s="412" t="s">
        <v>1469</v>
      </c>
      <c r="I2" s="412"/>
      <c r="J2" s="134"/>
      <c r="K2" s="412" t="s">
        <v>1470</v>
      </c>
      <c r="L2" s="412"/>
      <c r="Q2" s="410" t="s">
        <v>1617</v>
      </c>
      <c r="R2" s="411"/>
      <c r="U2" s="406" t="s">
        <v>2410</v>
      </c>
      <c r="V2" s="406"/>
      <c r="W2" s="406"/>
      <c r="X2" s="406"/>
      <c r="Y2" s="406"/>
      <c r="Z2" s="406"/>
      <c r="AA2" s="406"/>
      <c r="AB2" s="406"/>
      <c r="AC2" s="406"/>
      <c r="AD2" s="406"/>
      <c r="AE2" s="406"/>
    </row>
    <row r="3" spans="2:34" s="1" customFormat="1" x14ac:dyDescent="0.35">
      <c r="B3" s="135" t="s">
        <v>1471</v>
      </c>
      <c r="C3" s="135" t="s">
        <v>1472</v>
      </c>
      <c r="D3" s="150"/>
      <c r="E3" s="135" t="s">
        <v>1471</v>
      </c>
      <c r="F3" s="135" t="s">
        <v>1472</v>
      </c>
      <c r="G3" s="150"/>
      <c r="H3" s="135" t="s">
        <v>1471</v>
      </c>
      <c r="I3" s="135" t="s">
        <v>1472</v>
      </c>
      <c r="J3" s="150"/>
      <c r="K3" s="135" t="s">
        <v>1471</v>
      </c>
      <c r="L3" s="135" t="s">
        <v>1472</v>
      </c>
      <c r="Q3" s="135" t="s">
        <v>90</v>
      </c>
      <c r="R3" s="135" t="s">
        <v>89</v>
      </c>
      <c r="U3" s="144" t="s">
        <v>117</v>
      </c>
      <c r="V3" s="144" t="s">
        <v>189</v>
      </c>
      <c r="W3" s="144" t="s">
        <v>1474</v>
      </c>
      <c r="X3" s="144" t="s">
        <v>1475</v>
      </c>
      <c r="Y3" s="144" t="s">
        <v>1476</v>
      </c>
      <c r="Z3" s="144" t="s">
        <v>1478</v>
      </c>
      <c r="AA3" s="144" t="s">
        <v>91</v>
      </c>
      <c r="AB3" s="144" t="s">
        <v>1480</v>
      </c>
      <c r="AC3" s="144" t="s">
        <v>1481</v>
      </c>
      <c r="AD3" s="144" t="s">
        <v>1870</v>
      </c>
      <c r="AE3" s="144" t="s">
        <v>1482</v>
      </c>
      <c r="AH3" s="3"/>
    </row>
    <row r="4" spans="2:34" x14ac:dyDescent="0.35">
      <c r="B4" s="144"/>
      <c r="C4" s="137"/>
      <c r="D4" s="134"/>
      <c r="E4" s="144"/>
      <c r="F4" s="137"/>
      <c r="G4" s="134"/>
      <c r="H4" s="144"/>
      <c r="I4" s="137"/>
      <c r="J4" s="134"/>
      <c r="K4" s="144"/>
      <c r="L4" s="137"/>
      <c r="Q4" s="142"/>
      <c r="R4" s="143"/>
      <c r="U4" t="s">
        <v>1397</v>
      </c>
      <c r="V4" t="s">
        <v>2414</v>
      </c>
      <c r="W4" t="s">
        <v>293</v>
      </c>
      <c r="X4" t="s">
        <v>1871</v>
      </c>
      <c r="Y4" t="s">
        <v>293</v>
      </c>
      <c r="Z4" t="s">
        <v>1871</v>
      </c>
      <c r="AA4" t="s">
        <v>294</v>
      </c>
      <c r="AB4" t="s">
        <v>294</v>
      </c>
      <c r="AC4" t="s">
        <v>128</v>
      </c>
      <c r="AD4" t="s">
        <v>1493</v>
      </c>
      <c r="AE4" t="s">
        <v>1493</v>
      </c>
      <c r="AH4" s="3"/>
    </row>
    <row r="5" spans="2:34" x14ac:dyDescent="0.35">
      <c r="B5" s="144" t="s">
        <v>393</v>
      </c>
      <c r="C5" s="137">
        <v>0.6</v>
      </c>
      <c r="D5" s="134"/>
      <c r="E5" s="144" t="s">
        <v>117</v>
      </c>
      <c r="F5" s="137">
        <v>1</v>
      </c>
      <c r="G5" s="134"/>
      <c r="H5" s="144" t="s">
        <v>1473</v>
      </c>
      <c r="I5" s="137">
        <v>1.125</v>
      </c>
      <c r="J5" s="134"/>
      <c r="K5" s="144" t="s">
        <v>130</v>
      </c>
      <c r="L5" s="137">
        <v>1</v>
      </c>
      <c r="P5">
        <v>1</v>
      </c>
      <c r="Q5" s="142" t="s">
        <v>209</v>
      </c>
      <c r="R5" s="143">
        <v>0.1</v>
      </c>
      <c r="U5" t="s">
        <v>2347</v>
      </c>
      <c r="V5" t="s">
        <v>275</v>
      </c>
      <c r="W5" t="s">
        <v>1495</v>
      </c>
      <c r="Y5" t="s">
        <v>295</v>
      </c>
      <c r="AC5" t="s">
        <v>129</v>
      </c>
    </row>
    <row r="6" spans="2:34" x14ac:dyDescent="0.35">
      <c r="B6" s="144" t="s">
        <v>394</v>
      </c>
      <c r="C6" s="137">
        <v>0.9</v>
      </c>
      <c r="D6" s="134"/>
      <c r="E6" s="144" t="s">
        <v>189</v>
      </c>
      <c r="F6" s="137">
        <v>1.1000000000000001</v>
      </c>
      <c r="G6" s="134"/>
      <c r="H6" s="144" t="s">
        <v>167</v>
      </c>
      <c r="I6" s="137">
        <v>1.2</v>
      </c>
      <c r="J6" s="134"/>
      <c r="K6" s="144" t="s">
        <v>137</v>
      </c>
      <c r="L6" s="137">
        <v>1.1000000000000001</v>
      </c>
      <c r="P6">
        <v>2</v>
      </c>
      <c r="Q6" s="142" t="s">
        <v>1313</v>
      </c>
      <c r="R6" s="143">
        <v>0.2</v>
      </c>
      <c r="U6" t="s">
        <v>128</v>
      </c>
      <c r="V6" t="s">
        <v>1497</v>
      </c>
      <c r="W6" t="s">
        <v>2349</v>
      </c>
      <c r="AC6" t="s">
        <v>277</v>
      </c>
    </row>
    <row r="7" spans="2:34" x14ac:dyDescent="0.35">
      <c r="B7" s="144" t="s">
        <v>396</v>
      </c>
      <c r="C7" s="137">
        <v>1</v>
      </c>
      <c r="D7" s="134"/>
      <c r="E7" s="144" t="s">
        <v>1474</v>
      </c>
      <c r="F7" s="137">
        <v>1.1499999999999999</v>
      </c>
      <c r="G7" s="134"/>
      <c r="H7" s="144" t="s">
        <v>2408</v>
      </c>
      <c r="I7" s="137">
        <v>0.67500000000000004</v>
      </c>
      <c r="J7" s="134"/>
      <c r="K7" s="144" t="s">
        <v>132</v>
      </c>
      <c r="L7" s="137">
        <v>1.05</v>
      </c>
      <c r="P7">
        <v>3</v>
      </c>
      <c r="Q7" s="142" t="s">
        <v>91</v>
      </c>
      <c r="R7" s="143">
        <v>0.4</v>
      </c>
      <c r="U7" t="s">
        <v>274</v>
      </c>
      <c r="V7" t="s">
        <v>129</v>
      </c>
      <c r="AC7" t="s">
        <v>278</v>
      </c>
    </row>
    <row r="8" spans="2:34" x14ac:dyDescent="0.35">
      <c r="B8" s="144" t="s">
        <v>397</v>
      </c>
      <c r="C8" s="137">
        <v>1.2</v>
      </c>
      <c r="D8" s="134"/>
      <c r="E8" s="144" t="s">
        <v>1475</v>
      </c>
      <c r="F8" s="137">
        <v>1.4</v>
      </c>
      <c r="G8" s="134"/>
      <c r="H8" s="144" t="s">
        <v>1888</v>
      </c>
      <c r="I8" s="137">
        <v>1</v>
      </c>
      <c r="J8" s="134"/>
      <c r="K8" s="144" t="s">
        <v>133</v>
      </c>
      <c r="L8" s="137">
        <v>1.2</v>
      </c>
      <c r="P8">
        <v>4</v>
      </c>
      <c r="Q8" s="142" t="s">
        <v>1315</v>
      </c>
      <c r="R8" s="143">
        <v>0.4</v>
      </c>
      <c r="U8" t="s">
        <v>276</v>
      </c>
      <c r="V8" t="s">
        <v>278</v>
      </c>
      <c r="AC8" t="s">
        <v>279</v>
      </c>
    </row>
    <row r="9" spans="2:34" x14ac:dyDescent="0.35">
      <c r="B9" s="144" t="s">
        <v>140</v>
      </c>
      <c r="C9" s="137">
        <v>1</v>
      </c>
      <c r="D9" s="134"/>
      <c r="E9" s="144" t="s">
        <v>1476</v>
      </c>
      <c r="F9" s="137">
        <v>1.25</v>
      </c>
      <c r="G9" s="134"/>
      <c r="H9" s="144" t="s">
        <v>1889</v>
      </c>
      <c r="I9" s="137">
        <v>0.875</v>
      </c>
      <c r="J9" s="134"/>
      <c r="K9" s="144" t="s">
        <v>134</v>
      </c>
      <c r="L9" s="137">
        <v>1.3</v>
      </c>
      <c r="P9">
        <v>5</v>
      </c>
      <c r="Q9" s="142" t="s">
        <v>1904</v>
      </c>
      <c r="R9" s="143">
        <v>0.4</v>
      </c>
      <c r="U9" t="s">
        <v>277</v>
      </c>
      <c r="V9" t="s">
        <v>2415</v>
      </c>
      <c r="AC9" t="s">
        <v>290</v>
      </c>
    </row>
    <row r="10" spans="2:34" x14ac:dyDescent="0.35">
      <c r="B10" s="144" t="s">
        <v>197</v>
      </c>
      <c r="C10" s="137">
        <v>1.1000000000000001</v>
      </c>
      <c r="D10" s="134"/>
      <c r="E10" s="144" t="s">
        <v>1478</v>
      </c>
      <c r="F10" s="137">
        <v>1.55</v>
      </c>
      <c r="G10" s="134"/>
      <c r="H10" s="144" t="s">
        <v>1890</v>
      </c>
      <c r="I10" s="137">
        <v>1.575</v>
      </c>
      <c r="J10" s="134"/>
      <c r="K10" s="144" t="s">
        <v>136</v>
      </c>
      <c r="L10" s="137">
        <v>1.1499999999999999</v>
      </c>
      <c r="P10">
        <v>6</v>
      </c>
      <c r="Q10" s="142" t="s">
        <v>1314</v>
      </c>
      <c r="R10" s="143">
        <v>0.4</v>
      </c>
      <c r="U10" t="s">
        <v>279</v>
      </c>
      <c r="V10" t="s">
        <v>301</v>
      </c>
      <c r="AC10" t="s">
        <v>2415</v>
      </c>
    </row>
    <row r="11" spans="2:34" x14ac:dyDescent="0.35">
      <c r="B11" s="144"/>
      <c r="C11" s="137"/>
      <c r="D11" s="134"/>
      <c r="E11" s="144" t="s">
        <v>91</v>
      </c>
      <c r="F11" s="137">
        <v>0.7</v>
      </c>
      <c r="G11" s="134"/>
      <c r="H11" s="144" t="s">
        <v>1891</v>
      </c>
      <c r="I11" s="137">
        <v>1.2250000000000001</v>
      </c>
      <c r="J11" s="134"/>
      <c r="K11" s="144" t="s">
        <v>1477</v>
      </c>
      <c r="L11" s="137">
        <v>1.25</v>
      </c>
      <c r="P11">
        <v>7</v>
      </c>
      <c r="Q11" s="142" t="s">
        <v>92</v>
      </c>
      <c r="R11" s="143">
        <v>0.6</v>
      </c>
      <c r="U11" t="s">
        <v>281</v>
      </c>
      <c r="V11" t="s">
        <v>1496</v>
      </c>
      <c r="AC11" t="s">
        <v>2414</v>
      </c>
    </row>
    <row r="12" spans="2:34" x14ac:dyDescent="0.35">
      <c r="B12" s="144"/>
      <c r="C12" s="137"/>
      <c r="D12" s="134"/>
      <c r="E12" s="144" t="s">
        <v>1480</v>
      </c>
      <c r="F12" s="137">
        <v>0.8</v>
      </c>
      <c r="G12" s="134"/>
      <c r="H12" s="144" t="s">
        <v>2397</v>
      </c>
      <c r="I12" s="137">
        <v>0.77500000000000002</v>
      </c>
      <c r="J12" s="134"/>
      <c r="K12" s="144" t="s">
        <v>1479</v>
      </c>
      <c r="L12" s="137">
        <v>1</v>
      </c>
      <c r="P12">
        <v>8</v>
      </c>
      <c r="Q12" s="142" t="s">
        <v>1905</v>
      </c>
      <c r="R12" s="143">
        <v>0.6</v>
      </c>
      <c r="U12" t="s">
        <v>285</v>
      </c>
      <c r="V12" t="s">
        <v>1873</v>
      </c>
      <c r="AC12" t="s">
        <v>2416</v>
      </c>
    </row>
    <row r="13" spans="2:34" x14ac:dyDescent="0.35">
      <c r="B13" s="144"/>
      <c r="C13" s="137"/>
      <c r="D13" s="134"/>
      <c r="E13" s="144" t="s">
        <v>1481</v>
      </c>
      <c r="F13" s="137">
        <v>1.0249999999999999</v>
      </c>
      <c r="G13" s="134"/>
      <c r="H13" s="144" t="s">
        <v>2398</v>
      </c>
      <c r="I13" s="137">
        <v>0.8</v>
      </c>
      <c r="J13" s="134"/>
      <c r="K13" s="144" t="s">
        <v>146</v>
      </c>
      <c r="L13" s="137">
        <v>0.8</v>
      </c>
      <c r="P13">
        <v>9</v>
      </c>
      <c r="Q13" s="142" t="s">
        <v>1316</v>
      </c>
      <c r="R13" s="143">
        <v>0.6</v>
      </c>
      <c r="U13" t="s">
        <v>289</v>
      </c>
      <c r="V13" t="s">
        <v>2350</v>
      </c>
      <c r="AC13" t="s">
        <v>281</v>
      </c>
    </row>
    <row r="14" spans="2:34" x14ac:dyDescent="0.35">
      <c r="B14" s="144"/>
      <c r="C14" s="137"/>
      <c r="D14" s="134"/>
      <c r="E14" s="144" t="s">
        <v>1870</v>
      </c>
      <c r="F14" s="137">
        <v>1.1000000000000001</v>
      </c>
      <c r="G14" s="134"/>
      <c r="H14" s="144" t="s">
        <v>1892</v>
      </c>
      <c r="I14" s="137">
        <v>1.25</v>
      </c>
      <c r="J14" s="134"/>
      <c r="K14" s="144" t="s">
        <v>1599</v>
      </c>
      <c r="L14" s="137">
        <v>1.25</v>
      </c>
      <c r="P14">
        <v>10</v>
      </c>
      <c r="Q14" s="142" t="s">
        <v>2337</v>
      </c>
      <c r="R14" s="143">
        <v>0.6</v>
      </c>
      <c r="U14" t="s">
        <v>291</v>
      </c>
      <c r="V14" t="s">
        <v>2351</v>
      </c>
    </row>
    <row r="15" spans="2:34" x14ac:dyDescent="0.35">
      <c r="B15" s="144"/>
      <c r="C15" s="137"/>
      <c r="D15" s="134"/>
      <c r="E15" s="144" t="s">
        <v>1482</v>
      </c>
      <c r="F15" s="137">
        <v>1.2</v>
      </c>
      <c r="G15" s="134"/>
      <c r="H15" s="144" t="s">
        <v>174</v>
      </c>
      <c r="I15" s="137">
        <v>1.175</v>
      </c>
      <c r="J15" s="134"/>
      <c r="K15" s="144" t="s">
        <v>2507</v>
      </c>
      <c r="L15" s="137">
        <v>1.5</v>
      </c>
      <c r="P15">
        <v>11</v>
      </c>
      <c r="Q15" s="142" t="s">
        <v>1906</v>
      </c>
      <c r="R15" s="143">
        <v>0.6</v>
      </c>
      <c r="U15" t="s">
        <v>290</v>
      </c>
    </row>
    <row r="16" spans="2:34" x14ac:dyDescent="0.35">
      <c r="B16" s="144"/>
      <c r="C16" s="137"/>
      <c r="D16" s="134"/>
      <c r="E16" s="144"/>
      <c r="F16" s="137"/>
      <c r="G16" s="134"/>
      <c r="H16" s="144" t="s">
        <v>1483</v>
      </c>
      <c r="I16" s="137">
        <v>1.075</v>
      </c>
      <c r="J16" s="134"/>
      <c r="K16" s="144" t="s">
        <v>2509</v>
      </c>
      <c r="L16" s="137">
        <v>1.45</v>
      </c>
      <c r="P16">
        <v>12</v>
      </c>
      <c r="Q16" s="142" t="s">
        <v>97</v>
      </c>
      <c r="R16" s="143">
        <v>0.8</v>
      </c>
      <c r="U16" t="s">
        <v>296</v>
      </c>
    </row>
    <row r="17" spans="2:29" x14ac:dyDescent="0.35">
      <c r="B17" s="144"/>
      <c r="C17" s="137"/>
      <c r="D17" s="134"/>
      <c r="E17" s="144"/>
      <c r="F17" s="137"/>
      <c r="G17" s="134"/>
      <c r="H17" s="144" t="s">
        <v>1484</v>
      </c>
      <c r="I17" s="137">
        <v>1.05</v>
      </c>
      <c r="J17" s="134"/>
      <c r="K17" s="144"/>
      <c r="L17" s="137"/>
      <c r="P17">
        <v>13</v>
      </c>
      <c r="Q17" s="142" t="s">
        <v>94</v>
      </c>
      <c r="R17" s="143">
        <v>0.8</v>
      </c>
      <c r="U17" t="s">
        <v>1496</v>
      </c>
    </row>
    <row r="18" spans="2:29" x14ac:dyDescent="0.35">
      <c r="B18" s="144"/>
      <c r="C18" s="137"/>
      <c r="D18" s="134"/>
      <c r="E18" s="144"/>
      <c r="F18" s="137"/>
      <c r="G18" s="134"/>
      <c r="H18" s="144" t="s">
        <v>1485</v>
      </c>
      <c r="I18" s="137">
        <v>1.1499999999999999</v>
      </c>
      <c r="J18" s="134"/>
      <c r="K18" s="144"/>
      <c r="L18" s="137"/>
      <c r="P18">
        <v>14</v>
      </c>
      <c r="Q18" s="142" t="s">
        <v>1907</v>
      </c>
      <c r="R18" s="143">
        <v>0.8</v>
      </c>
      <c r="U18" t="s">
        <v>2348</v>
      </c>
    </row>
    <row r="19" spans="2:29" x14ac:dyDescent="0.35">
      <c r="B19" s="144"/>
      <c r="C19" s="137"/>
      <c r="D19" s="134"/>
      <c r="E19" s="144"/>
      <c r="F19" s="137"/>
      <c r="G19" s="134"/>
      <c r="H19" s="144" t="s">
        <v>1486</v>
      </c>
      <c r="I19" s="137">
        <v>1.2</v>
      </c>
      <c r="J19" s="134"/>
      <c r="K19" s="144"/>
      <c r="L19" s="137"/>
      <c r="P19">
        <v>15</v>
      </c>
      <c r="Q19" s="142" t="s">
        <v>1908</v>
      </c>
      <c r="R19" s="143">
        <v>0.8</v>
      </c>
      <c r="U19" t="s">
        <v>1872</v>
      </c>
    </row>
    <row r="20" spans="2:29" x14ac:dyDescent="0.35">
      <c r="B20" s="144"/>
      <c r="C20" s="137"/>
      <c r="D20" s="134"/>
      <c r="E20" s="144"/>
      <c r="F20" s="137"/>
      <c r="G20" s="134"/>
      <c r="H20" s="144" t="s">
        <v>2399</v>
      </c>
      <c r="I20" s="137">
        <v>1.3</v>
      </c>
      <c r="J20" s="134"/>
      <c r="K20" s="144"/>
      <c r="L20" s="137"/>
      <c r="P20">
        <v>16</v>
      </c>
      <c r="Q20" s="142" t="s">
        <v>96</v>
      </c>
      <c r="R20" s="143">
        <v>0.8</v>
      </c>
      <c r="U20" t="s">
        <v>1873</v>
      </c>
    </row>
    <row r="21" spans="2:29" x14ac:dyDescent="0.35">
      <c r="B21" s="144"/>
      <c r="C21" s="137"/>
      <c r="D21" s="134"/>
      <c r="E21" s="144"/>
      <c r="F21" s="137"/>
      <c r="G21" s="134"/>
      <c r="H21" s="144"/>
      <c r="I21" s="137"/>
      <c r="J21" s="134"/>
      <c r="K21" s="144"/>
      <c r="L21" s="137"/>
      <c r="P21">
        <v>17</v>
      </c>
      <c r="Q21" s="142" t="s">
        <v>95</v>
      </c>
      <c r="R21" s="143">
        <v>0.8</v>
      </c>
    </row>
    <row r="22" spans="2:29" x14ac:dyDescent="0.35">
      <c r="B22" s="144"/>
      <c r="C22" s="137"/>
      <c r="D22" s="134"/>
      <c r="E22" s="144"/>
      <c r="F22" s="137"/>
      <c r="G22" s="134"/>
      <c r="H22" s="144"/>
      <c r="I22" s="137"/>
      <c r="J22" s="134"/>
      <c r="K22" s="144"/>
      <c r="L22" s="137"/>
      <c r="P22">
        <v>18</v>
      </c>
      <c r="Q22" s="142" t="s">
        <v>93</v>
      </c>
      <c r="R22" s="143">
        <v>0.8</v>
      </c>
    </row>
    <row r="23" spans="2:29" x14ac:dyDescent="0.35">
      <c r="B23" s="144"/>
      <c r="C23" s="137"/>
      <c r="D23" s="134"/>
      <c r="E23" s="144"/>
      <c r="F23" s="137"/>
      <c r="G23" s="134"/>
      <c r="H23" s="144"/>
      <c r="I23" s="137"/>
      <c r="J23" s="134"/>
      <c r="K23" s="144"/>
      <c r="L23" s="137"/>
      <c r="P23">
        <v>19</v>
      </c>
      <c r="Q23" s="142" t="s">
        <v>1317</v>
      </c>
      <c r="R23" s="143">
        <v>0.8</v>
      </c>
    </row>
    <row r="24" spans="2:29" x14ac:dyDescent="0.35">
      <c r="B24" s="144"/>
      <c r="C24" s="137"/>
      <c r="D24" s="134"/>
      <c r="E24" s="144"/>
      <c r="F24" s="137"/>
      <c r="G24" s="134"/>
      <c r="H24" s="144"/>
      <c r="I24" s="137"/>
      <c r="J24" s="134"/>
      <c r="K24" s="144"/>
      <c r="L24" s="137"/>
      <c r="P24">
        <v>20</v>
      </c>
      <c r="Q24" s="142" t="s">
        <v>100</v>
      </c>
      <c r="R24" s="143">
        <v>1</v>
      </c>
    </row>
    <row r="25" spans="2:29" x14ac:dyDescent="0.35">
      <c r="B25" s="144"/>
      <c r="C25" s="137"/>
      <c r="D25" s="134"/>
      <c r="E25" s="144"/>
      <c r="F25" s="137"/>
      <c r="G25" s="134"/>
      <c r="H25" s="144"/>
      <c r="I25" s="137"/>
      <c r="J25" s="134"/>
      <c r="K25" s="144"/>
      <c r="L25" s="137"/>
      <c r="P25">
        <v>21</v>
      </c>
      <c r="Q25" s="142" t="s">
        <v>1910</v>
      </c>
      <c r="R25" s="143">
        <v>1</v>
      </c>
    </row>
    <row r="26" spans="2:29" x14ac:dyDescent="0.35">
      <c r="B26" s="144"/>
      <c r="C26" s="137"/>
      <c r="D26" s="134"/>
      <c r="E26" s="144"/>
      <c r="F26" s="137"/>
      <c r="G26" s="134"/>
      <c r="H26" s="144"/>
      <c r="I26" s="137"/>
      <c r="J26" s="134"/>
      <c r="K26" s="144"/>
      <c r="L26" s="137"/>
      <c r="P26">
        <v>22</v>
      </c>
      <c r="Q26" s="142" t="s">
        <v>1909</v>
      </c>
      <c r="R26" s="143">
        <v>1</v>
      </c>
    </row>
    <row r="27" spans="2:29" x14ac:dyDescent="0.35">
      <c r="B27" s="144"/>
      <c r="C27" s="137"/>
      <c r="D27" s="134"/>
      <c r="E27" s="144"/>
      <c r="F27" s="137"/>
      <c r="G27" s="134"/>
      <c r="H27" s="144"/>
      <c r="I27" s="137"/>
      <c r="J27" s="134"/>
      <c r="K27" s="144"/>
      <c r="L27" s="137"/>
      <c r="P27">
        <v>23</v>
      </c>
      <c r="Q27" s="142" t="s">
        <v>98</v>
      </c>
      <c r="R27" s="143">
        <v>1</v>
      </c>
    </row>
    <row r="28" spans="2:29" x14ac:dyDescent="0.35">
      <c r="B28" s="145"/>
      <c r="C28" s="138"/>
      <c r="D28" s="134"/>
      <c r="E28" s="145"/>
      <c r="F28" s="138"/>
      <c r="G28" s="134"/>
      <c r="H28" s="145"/>
      <c r="I28" s="138"/>
      <c r="J28" s="134"/>
      <c r="K28" s="145"/>
      <c r="L28" s="138"/>
      <c r="P28">
        <v>24</v>
      </c>
      <c r="Q28" s="142" t="s">
        <v>2338</v>
      </c>
      <c r="R28" s="143">
        <v>1</v>
      </c>
    </row>
    <row r="29" spans="2:29" x14ac:dyDescent="0.35">
      <c r="B29" s="145"/>
      <c r="C29" s="138"/>
      <c r="D29" s="134"/>
      <c r="E29" s="145"/>
      <c r="F29" s="138"/>
      <c r="G29" s="134"/>
      <c r="H29" s="145"/>
      <c r="I29" s="138"/>
      <c r="J29" s="134"/>
      <c r="K29" s="145"/>
      <c r="L29" s="138"/>
      <c r="P29">
        <v>25</v>
      </c>
      <c r="Q29" s="142" t="s">
        <v>99</v>
      </c>
      <c r="R29" s="143">
        <v>1</v>
      </c>
      <c r="U29" s="407" t="s">
        <v>2411</v>
      </c>
      <c r="V29" s="408"/>
      <c r="W29" s="408"/>
      <c r="X29" s="408"/>
      <c r="Y29" s="408"/>
      <c r="Z29" s="408"/>
      <c r="AA29" s="408"/>
      <c r="AB29" s="408"/>
      <c r="AC29" s="409"/>
    </row>
    <row r="30" spans="2:29" x14ac:dyDescent="0.35">
      <c r="B30" s="145"/>
      <c r="C30" s="138"/>
      <c r="D30" s="134"/>
      <c r="E30" s="145"/>
      <c r="F30" s="138"/>
      <c r="G30" s="134"/>
      <c r="H30" s="145"/>
      <c r="I30" s="138"/>
      <c r="J30" s="134"/>
      <c r="K30" s="145"/>
      <c r="L30" s="138"/>
      <c r="P30">
        <v>26</v>
      </c>
      <c r="Q30" s="142" t="s">
        <v>1318</v>
      </c>
      <c r="R30" s="143">
        <v>1</v>
      </c>
      <c r="U30" s="142" t="s">
        <v>130</v>
      </c>
      <c r="V30" s="142" t="s">
        <v>137</v>
      </c>
      <c r="W30" s="142" t="s">
        <v>132</v>
      </c>
      <c r="X30" s="142" t="s">
        <v>133</v>
      </c>
      <c r="Y30" s="142" t="s">
        <v>134</v>
      </c>
      <c r="Z30" s="142" t="s">
        <v>136</v>
      </c>
      <c r="AA30" s="142" t="s">
        <v>1477</v>
      </c>
      <c r="AB30" s="142" t="s">
        <v>1479</v>
      </c>
      <c r="AC30" s="142" t="s">
        <v>146</v>
      </c>
    </row>
    <row r="31" spans="2:29" x14ac:dyDescent="0.35">
      <c r="B31" s="145"/>
      <c r="C31" s="136"/>
      <c r="D31" s="134"/>
      <c r="E31" s="145"/>
      <c r="F31" s="136"/>
      <c r="G31" s="134"/>
      <c r="H31" s="145"/>
      <c r="I31" s="136"/>
      <c r="J31" s="134"/>
      <c r="K31" s="145"/>
      <c r="L31" s="136"/>
      <c r="P31">
        <v>27</v>
      </c>
      <c r="Q31" s="142" t="s">
        <v>103</v>
      </c>
      <c r="R31" s="143">
        <v>1.2</v>
      </c>
      <c r="U31" t="s">
        <v>222</v>
      </c>
      <c r="V31" t="s">
        <v>1494</v>
      </c>
      <c r="W31" t="s">
        <v>2412</v>
      </c>
      <c r="X31" t="s">
        <v>2365</v>
      </c>
      <c r="Y31" t="s">
        <v>2413</v>
      </c>
      <c r="Z31" t="s">
        <v>2362</v>
      </c>
      <c r="AA31" t="s">
        <v>1879</v>
      </c>
      <c r="AB31" t="s">
        <v>2362</v>
      </c>
      <c r="AC31" t="s">
        <v>2362</v>
      </c>
    </row>
    <row r="32" spans="2:29" x14ac:dyDescent="0.35">
      <c r="P32">
        <v>28</v>
      </c>
      <c r="Q32" s="142" t="s">
        <v>2340</v>
      </c>
      <c r="R32" s="143">
        <v>1.2</v>
      </c>
      <c r="U32" t="s">
        <v>221</v>
      </c>
      <c r="V32" t="s">
        <v>223</v>
      </c>
      <c r="W32" t="s">
        <v>2361</v>
      </c>
      <c r="X32" t="s">
        <v>1878</v>
      </c>
      <c r="Y32" t="s">
        <v>1492</v>
      </c>
      <c r="Z32" t="s">
        <v>1494</v>
      </c>
      <c r="AA32" t="s">
        <v>2365</v>
      </c>
      <c r="AB32" t="s">
        <v>2361</v>
      </c>
      <c r="AC32" t="s">
        <v>2361</v>
      </c>
    </row>
    <row r="33" spans="2:29" x14ac:dyDescent="0.35">
      <c r="P33">
        <v>29</v>
      </c>
      <c r="Q33" s="142" t="s">
        <v>101</v>
      </c>
      <c r="R33" s="143">
        <v>1.2</v>
      </c>
      <c r="U33" t="s">
        <v>1489</v>
      </c>
      <c r="V33" t="s">
        <v>221</v>
      </c>
      <c r="W33" t="s">
        <v>1490</v>
      </c>
      <c r="X33" t="s">
        <v>2413</v>
      </c>
      <c r="Y33" t="s">
        <v>1491</v>
      </c>
      <c r="Z33" t="s">
        <v>2361</v>
      </c>
      <c r="AA33" t="s">
        <v>239</v>
      </c>
      <c r="AB33" t="s">
        <v>226</v>
      </c>
      <c r="AC33" t="s">
        <v>226</v>
      </c>
    </row>
    <row r="34" spans="2:29" x14ac:dyDescent="0.35">
      <c r="P34">
        <v>30</v>
      </c>
      <c r="Q34" s="142" t="s">
        <v>2339</v>
      </c>
      <c r="R34" s="143">
        <v>1.2</v>
      </c>
      <c r="U34" t="s">
        <v>223</v>
      </c>
      <c r="V34" t="s">
        <v>222</v>
      </c>
      <c r="W34" t="s">
        <v>231</v>
      </c>
      <c r="X34" t="s">
        <v>1491</v>
      </c>
      <c r="Y34" t="s">
        <v>243</v>
      </c>
      <c r="Z34" t="s">
        <v>223</v>
      </c>
      <c r="AA34" t="s">
        <v>2361</v>
      </c>
      <c r="AB34" t="s">
        <v>223</v>
      </c>
      <c r="AC34" t="s">
        <v>1489</v>
      </c>
    </row>
    <row r="35" spans="2:29" ht="15.5" x14ac:dyDescent="0.35">
      <c r="B35" s="410" t="s">
        <v>2382</v>
      </c>
      <c r="C35" s="412"/>
      <c r="D35" s="412"/>
      <c r="E35" s="412"/>
      <c r="F35" s="412"/>
      <c r="G35" s="412"/>
      <c r="H35" s="412"/>
      <c r="I35" s="412"/>
      <c r="J35" s="412"/>
      <c r="K35" s="412"/>
      <c r="L35" s="411"/>
      <c r="P35">
        <v>31</v>
      </c>
      <c r="Q35" s="142" t="s">
        <v>102</v>
      </c>
      <c r="R35" s="143">
        <v>1.2</v>
      </c>
      <c r="U35" t="s">
        <v>226</v>
      </c>
      <c r="V35" t="s">
        <v>226</v>
      </c>
      <c r="W35" t="s">
        <v>222</v>
      </c>
      <c r="X35" t="s">
        <v>243</v>
      </c>
      <c r="Y35" t="s">
        <v>239</v>
      </c>
      <c r="Z35" t="s">
        <v>1488</v>
      </c>
      <c r="AA35" t="s">
        <v>226</v>
      </c>
      <c r="AB35" t="s">
        <v>222</v>
      </c>
      <c r="AC35" t="s">
        <v>223</v>
      </c>
    </row>
    <row r="36" spans="2:29" ht="15.5" x14ac:dyDescent="0.35">
      <c r="B36" s="412" t="s">
        <v>1467</v>
      </c>
      <c r="C36" s="412"/>
      <c r="D36" s="134"/>
      <c r="E36" s="412" t="s">
        <v>1468</v>
      </c>
      <c r="F36" s="412"/>
      <c r="G36" s="134"/>
      <c r="H36" s="412" t="s">
        <v>1469</v>
      </c>
      <c r="I36" s="412"/>
      <c r="J36" s="134"/>
      <c r="K36" s="412" t="s">
        <v>1470</v>
      </c>
      <c r="L36" s="412"/>
      <c r="P36">
        <v>32</v>
      </c>
      <c r="Q36" s="142" t="s">
        <v>1911</v>
      </c>
      <c r="R36" s="143">
        <v>1.2</v>
      </c>
      <c r="U36" t="s">
        <v>1878</v>
      </c>
      <c r="W36" t="s">
        <v>221</v>
      </c>
      <c r="X36" t="s">
        <v>239</v>
      </c>
      <c r="Y36" t="s">
        <v>1490</v>
      </c>
      <c r="Z36" t="s">
        <v>222</v>
      </c>
      <c r="AA36" t="s">
        <v>223</v>
      </c>
      <c r="AB36" t="s">
        <v>221</v>
      </c>
      <c r="AC36" t="s">
        <v>222</v>
      </c>
    </row>
    <row r="37" spans="2:29" x14ac:dyDescent="0.35">
      <c r="B37" s="135" t="s">
        <v>1471</v>
      </c>
      <c r="C37" s="135" t="s">
        <v>1472</v>
      </c>
      <c r="D37" s="150"/>
      <c r="E37" s="135" t="s">
        <v>1471</v>
      </c>
      <c r="F37" s="135" t="s">
        <v>1472</v>
      </c>
      <c r="G37" s="150"/>
      <c r="H37" s="135" t="s">
        <v>1471</v>
      </c>
      <c r="I37" s="135" t="s">
        <v>1472</v>
      </c>
      <c r="J37" s="150"/>
      <c r="K37" s="135" t="s">
        <v>1471</v>
      </c>
      <c r="L37" s="135" t="s">
        <v>1472</v>
      </c>
      <c r="P37">
        <v>33</v>
      </c>
      <c r="Q37" s="142" t="s">
        <v>1281</v>
      </c>
      <c r="R37" s="143">
        <v>1.4</v>
      </c>
      <c r="U37" t="s">
        <v>2362</v>
      </c>
      <c r="W37" t="s">
        <v>223</v>
      </c>
      <c r="X37" t="s">
        <v>222</v>
      </c>
      <c r="Y37" t="s">
        <v>222</v>
      </c>
      <c r="Z37" t="s">
        <v>221</v>
      </c>
      <c r="AA37" t="s">
        <v>222</v>
      </c>
      <c r="AB37" t="s">
        <v>1489</v>
      </c>
      <c r="AC37" t="s">
        <v>221</v>
      </c>
    </row>
    <row r="38" spans="2:29" x14ac:dyDescent="0.35">
      <c r="B38" s="144"/>
      <c r="C38" s="137"/>
      <c r="D38" s="134"/>
      <c r="E38" s="144"/>
      <c r="F38" s="234"/>
      <c r="G38" s="134"/>
      <c r="H38" s="144"/>
      <c r="I38" s="137"/>
      <c r="J38" s="134"/>
      <c r="K38" s="144"/>
      <c r="L38" s="137"/>
      <c r="P38">
        <v>34</v>
      </c>
      <c r="Q38" s="142" t="s">
        <v>1913</v>
      </c>
      <c r="R38" s="143">
        <v>1.4</v>
      </c>
      <c r="U38" t="s">
        <v>1494</v>
      </c>
      <c r="W38" t="s">
        <v>1878</v>
      </c>
      <c r="X38" t="s">
        <v>221</v>
      </c>
      <c r="Y38" t="s">
        <v>221</v>
      </c>
      <c r="Z38" t="s">
        <v>1489</v>
      </c>
      <c r="AA38" t="s">
        <v>221</v>
      </c>
      <c r="AB38" t="s">
        <v>2363</v>
      </c>
      <c r="AC38" t="s">
        <v>2361</v>
      </c>
    </row>
    <row r="39" spans="2:29" x14ac:dyDescent="0.35">
      <c r="B39" s="144" t="s">
        <v>1487</v>
      </c>
      <c r="C39" s="137"/>
      <c r="D39" s="134"/>
      <c r="E39" s="144" t="s">
        <v>1397</v>
      </c>
      <c r="F39" s="137">
        <v>1.3</v>
      </c>
      <c r="G39" s="235"/>
      <c r="H39" s="144" t="s">
        <v>1487</v>
      </c>
      <c r="I39" s="137"/>
      <c r="J39" s="134"/>
      <c r="K39" s="144" t="s">
        <v>221</v>
      </c>
      <c r="L39" s="137">
        <v>0.1</v>
      </c>
      <c r="P39">
        <v>35</v>
      </c>
      <c r="Q39" s="142" t="s">
        <v>1283</v>
      </c>
      <c r="R39" s="143">
        <v>1.4</v>
      </c>
      <c r="U39" t="s">
        <v>2361</v>
      </c>
      <c r="W39" t="s">
        <v>2366</v>
      </c>
      <c r="X39" t="s">
        <v>2369</v>
      </c>
      <c r="Y39" t="s">
        <v>1878</v>
      </c>
      <c r="Z39" t="s">
        <v>2363</v>
      </c>
      <c r="AA39" t="s">
        <v>1489</v>
      </c>
      <c r="AC39" t="s">
        <v>2363</v>
      </c>
    </row>
    <row r="40" spans="2:29" x14ac:dyDescent="0.35">
      <c r="B40" s="144"/>
      <c r="C40" s="137"/>
      <c r="D40" s="134"/>
      <c r="E40" s="144" t="s">
        <v>2414</v>
      </c>
      <c r="F40" s="137">
        <v>1.05</v>
      </c>
      <c r="G40" s="134"/>
      <c r="H40" s="144"/>
      <c r="I40" s="137"/>
      <c r="J40" s="134"/>
      <c r="K40" s="144" t="s">
        <v>222</v>
      </c>
      <c r="L40" s="137">
        <v>0.2</v>
      </c>
      <c r="P40">
        <v>36</v>
      </c>
      <c r="Q40" s="142" t="s">
        <v>1912</v>
      </c>
      <c r="R40" s="143">
        <v>1.4</v>
      </c>
      <c r="U40" t="s">
        <v>2363</v>
      </c>
      <c r="W40" t="s">
        <v>2363</v>
      </c>
      <c r="X40" t="s">
        <v>1488</v>
      </c>
      <c r="Y40" t="s">
        <v>2368</v>
      </c>
      <c r="AA40" t="s">
        <v>231</v>
      </c>
    </row>
    <row r="41" spans="2:29" x14ac:dyDescent="0.35">
      <c r="B41" s="144"/>
      <c r="C41" s="137"/>
      <c r="D41" s="134"/>
      <c r="E41" s="144" t="s">
        <v>2347</v>
      </c>
      <c r="F41" s="137">
        <v>1</v>
      </c>
      <c r="G41" s="134"/>
      <c r="H41" s="144"/>
      <c r="I41" s="137"/>
      <c r="J41" s="134"/>
      <c r="K41" s="144" t="s">
        <v>1488</v>
      </c>
      <c r="L41" s="137">
        <v>0.2</v>
      </c>
      <c r="P41">
        <v>37</v>
      </c>
      <c r="Q41" s="142" t="s">
        <v>2469</v>
      </c>
      <c r="R41" s="143">
        <v>1.45</v>
      </c>
      <c r="U41" t="s">
        <v>2366</v>
      </c>
      <c r="W41" t="s">
        <v>1489</v>
      </c>
      <c r="X41" t="s">
        <v>223</v>
      </c>
      <c r="Y41" t="s">
        <v>2367</v>
      </c>
      <c r="AA41" t="s">
        <v>2360</v>
      </c>
    </row>
    <row r="42" spans="2:29" x14ac:dyDescent="0.35">
      <c r="B42" s="144"/>
      <c r="C42" s="137"/>
      <c r="D42" s="134"/>
      <c r="E42" s="144" t="s">
        <v>128</v>
      </c>
      <c r="F42" s="137">
        <v>0.8</v>
      </c>
      <c r="G42" s="134"/>
      <c r="H42" s="144"/>
      <c r="I42" s="137"/>
      <c r="J42" s="134"/>
      <c r="K42" s="144" t="s">
        <v>223</v>
      </c>
      <c r="L42" s="137">
        <v>0.15</v>
      </c>
      <c r="P42">
        <v>38</v>
      </c>
      <c r="Q42" s="142" t="s">
        <v>2341</v>
      </c>
      <c r="R42" s="143">
        <v>1.5</v>
      </c>
      <c r="X42" t="s">
        <v>1489</v>
      </c>
      <c r="Y42" t="s">
        <v>2369</v>
      </c>
      <c r="AA42" t="s">
        <v>1492</v>
      </c>
    </row>
    <row r="43" spans="2:29" x14ac:dyDescent="0.35">
      <c r="B43" s="144"/>
      <c r="C43" s="137"/>
      <c r="D43" s="134"/>
      <c r="E43" s="144" t="s">
        <v>274</v>
      </c>
      <c r="F43" s="137">
        <v>0.7</v>
      </c>
      <c r="G43" s="134"/>
      <c r="H43" s="144"/>
      <c r="I43" s="137"/>
      <c r="J43" s="134"/>
      <c r="K43" s="144" t="s">
        <v>1489</v>
      </c>
      <c r="L43" s="137">
        <v>0.4</v>
      </c>
      <c r="P43">
        <v>39</v>
      </c>
      <c r="Q43" s="142" t="s">
        <v>1914</v>
      </c>
      <c r="R43" s="143">
        <v>1.6</v>
      </c>
      <c r="X43" t="s">
        <v>226</v>
      </c>
      <c r="Y43" t="s">
        <v>223</v>
      </c>
      <c r="AA43" t="s">
        <v>2413</v>
      </c>
    </row>
    <row r="44" spans="2:29" x14ac:dyDescent="0.35">
      <c r="B44" s="144"/>
      <c r="C44" s="137"/>
      <c r="D44" s="134"/>
      <c r="E44" s="144" t="s">
        <v>275</v>
      </c>
      <c r="F44" s="137">
        <v>0.6</v>
      </c>
      <c r="G44" s="134"/>
      <c r="H44" s="144"/>
      <c r="I44" s="137"/>
      <c r="J44" s="134"/>
      <c r="K44" s="144" t="s">
        <v>226</v>
      </c>
      <c r="L44" s="137">
        <v>0.1</v>
      </c>
      <c r="P44">
        <v>40</v>
      </c>
      <c r="Q44" s="142" t="s">
        <v>104</v>
      </c>
      <c r="R44" s="143">
        <v>1.6</v>
      </c>
      <c r="X44" t="s">
        <v>2360</v>
      </c>
      <c r="Y44" t="s">
        <v>1489</v>
      </c>
      <c r="AA44" t="s">
        <v>2362</v>
      </c>
    </row>
    <row r="45" spans="2:29" x14ac:dyDescent="0.35">
      <c r="B45" s="144"/>
      <c r="C45" s="137"/>
      <c r="D45" s="134"/>
      <c r="E45" s="144" t="s">
        <v>1497</v>
      </c>
      <c r="F45" s="137">
        <v>0.27500000000000002</v>
      </c>
      <c r="G45" s="134"/>
      <c r="H45" s="144"/>
      <c r="I45" s="137"/>
      <c r="J45" s="134"/>
      <c r="K45" s="144" t="s">
        <v>231</v>
      </c>
      <c r="L45" s="137">
        <v>0.25</v>
      </c>
      <c r="P45">
        <v>41</v>
      </c>
      <c r="Q45" s="142" t="s">
        <v>1915</v>
      </c>
      <c r="R45" s="143">
        <v>1.6</v>
      </c>
      <c r="Y45" t="s">
        <v>1494</v>
      </c>
      <c r="AA45" t="s">
        <v>2363</v>
      </c>
    </row>
    <row r="46" spans="2:29" x14ac:dyDescent="0.35">
      <c r="B46" s="144"/>
      <c r="C46" s="137"/>
      <c r="D46" s="134"/>
      <c r="E46" s="144" t="s">
        <v>129</v>
      </c>
      <c r="F46" s="137">
        <v>0.45</v>
      </c>
      <c r="G46" s="134"/>
      <c r="H46" s="144"/>
      <c r="I46" s="137"/>
      <c r="J46" s="134"/>
      <c r="K46" s="144" t="s">
        <v>1490</v>
      </c>
      <c r="L46" s="137">
        <v>0.3</v>
      </c>
      <c r="P46">
        <v>42</v>
      </c>
      <c r="Q46" s="142" t="s">
        <v>2473</v>
      </c>
      <c r="R46" s="143">
        <v>1.8</v>
      </c>
      <c r="Y46" t="s">
        <v>2364</v>
      </c>
    </row>
    <row r="47" spans="2:29" x14ac:dyDescent="0.35">
      <c r="B47" s="144"/>
      <c r="C47" s="137"/>
      <c r="D47" s="134"/>
      <c r="E47" s="144" t="s">
        <v>276</v>
      </c>
      <c r="F47" s="137">
        <v>0.5</v>
      </c>
      <c r="G47" s="134"/>
      <c r="H47" s="144"/>
      <c r="I47" s="137"/>
      <c r="J47" s="134"/>
      <c r="K47" s="144" t="s">
        <v>2360</v>
      </c>
      <c r="L47" s="137">
        <v>0.4</v>
      </c>
      <c r="P47">
        <v>43</v>
      </c>
      <c r="Q47" s="142" t="s">
        <v>1280</v>
      </c>
      <c r="R47" s="143">
        <v>1.8</v>
      </c>
    </row>
    <row r="48" spans="2:29" x14ac:dyDescent="0.35">
      <c r="B48" s="144"/>
      <c r="C48" s="137"/>
      <c r="D48" s="134"/>
      <c r="E48" s="144" t="s">
        <v>277</v>
      </c>
      <c r="F48" s="137">
        <v>0.15</v>
      </c>
      <c r="G48" s="134"/>
      <c r="H48" s="144"/>
      <c r="I48" s="137"/>
      <c r="J48" s="134"/>
      <c r="K48" s="144" t="s">
        <v>2493</v>
      </c>
      <c r="L48" s="137">
        <v>0.4</v>
      </c>
      <c r="P48">
        <v>44</v>
      </c>
      <c r="Q48" s="142" t="s">
        <v>1963</v>
      </c>
      <c r="R48" s="143">
        <v>1.8</v>
      </c>
    </row>
    <row r="49" spans="2:18" x14ac:dyDescent="0.35">
      <c r="B49" s="144"/>
      <c r="C49" s="137"/>
      <c r="D49" s="134"/>
      <c r="E49" s="144" t="s">
        <v>278</v>
      </c>
      <c r="F49" s="137">
        <v>0.4</v>
      </c>
      <c r="G49" s="134"/>
      <c r="H49" s="144"/>
      <c r="I49" s="137"/>
      <c r="J49" s="134"/>
      <c r="K49" s="144" t="s">
        <v>2361</v>
      </c>
      <c r="L49" s="137">
        <v>0.45</v>
      </c>
      <c r="P49">
        <v>45</v>
      </c>
      <c r="Q49" s="142" t="s">
        <v>2483</v>
      </c>
      <c r="R49" s="143">
        <v>1.9</v>
      </c>
    </row>
    <row r="50" spans="2:18" x14ac:dyDescent="0.35">
      <c r="B50" s="144"/>
      <c r="C50" s="137"/>
      <c r="D50" s="134"/>
      <c r="E50" s="144" t="s">
        <v>279</v>
      </c>
      <c r="F50" s="137">
        <v>0.375</v>
      </c>
      <c r="G50" s="134"/>
      <c r="H50" s="144"/>
      <c r="I50" s="137"/>
      <c r="J50" s="134"/>
      <c r="K50" s="144" t="s">
        <v>239</v>
      </c>
      <c r="L50" s="137">
        <v>0.25</v>
      </c>
      <c r="P50">
        <v>46</v>
      </c>
      <c r="Q50" s="142" t="s">
        <v>1916</v>
      </c>
      <c r="R50" s="143">
        <v>2</v>
      </c>
    </row>
    <row r="51" spans="2:18" x14ac:dyDescent="0.35">
      <c r="B51" s="144"/>
      <c r="C51" s="137"/>
      <c r="D51" s="134"/>
      <c r="E51" s="144" t="s">
        <v>281</v>
      </c>
      <c r="F51" s="137">
        <v>0.85</v>
      </c>
      <c r="G51" s="134"/>
      <c r="H51" s="144"/>
      <c r="I51" s="137"/>
      <c r="J51" s="134"/>
      <c r="K51" s="144" t="s">
        <v>243</v>
      </c>
      <c r="L51" s="137">
        <v>0.375</v>
      </c>
      <c r="P51">
        <v>47</v>
      </c>
      <c r="Q51" s="142" t="s">
        <v>1964</v>
      </c>
      <c r="R51" s="143">
        <v>2</v>
      </c>
    </row>
    <row r="52" spans="2:18" x14ac:dyDescent="0.35">
      <c r="B52" s="144"/>
      <c r="C52" s="137"/>
      <c r="D52" s="134"/>
      <c r="E52" s="144" t="s">
        <v>1493</v>
      </c>
      <c r="F52" s="137">
        <v>0.45</v>
      </c>
      <c r="G52" s="134"/>
      <c r="H52" s="144"/>
      <c r="I52" s="137"/>
      <c r="J52" s="134"/>
      <c r="K52" s="144" t="s">
        <v>1491</v>
      </c>
      <c r="L52" s="137">
        <v>0.35</v>
      </c>
      <c r="P52">
        <v>48</v>
      </c>
      <c r="Q52" s="142" t="s">
        <v>1965</v>
      </c>
      <c r="R52" s="143">
        <v>2</v>
      </c>
    </row>
    <row r="53" spans="2:18" x14ac:dyDescent="0.35">
      <c r="B53" s="144"/>
      <c r="C53" s="137"/>
      <c r="D53" s="134"/>
      <c r="E53" s="144" t="s">
        <v>285</v>
      </c>
      <c r="F53" s="137">
        <v>0.35</v>
      </c>
      <c r="G53" s="134"/>
      <c r="H53" s="144"/>
      <c r="I53" s="137"/>
      <c r="J53" s="134"/>
      <c r="K53" s="144" t="s">
        <v>1492</v>
      </c>
      <c r="L53" s="137">
        <v>0.4</v>
      </c>
      <c r="P53">
        <v>49</v>
      </c>
      <c r="Q53" s="142" t="s">
        <v>1380</v>
      </c>
      <c r="R53" s="143">
        <v>2.1</v>
      </c>
    </row>
    <row r="54" spans="2:18" x14ac:dyDescent="0.35">
      <c r="B54" s="144"/>
      <c r="C54" s="137"/>
      <c r="D54" s="134"/>
      <c r="E54" s="144" t="s">
        <v>289</v>
      </c>
      <c r="F54" s="137">
        <v>0.1</v>
      </c>
      <c r="G54" s="134"/>
      <c r="H54" s="144"/>
      <c r="I54" s="137"/>
      <c r="J54" s="134"/>
      <c r="K54" s="144" t="s">
        <v>1877</v>
      </c>
      <c r="L54" s="137">
        <v>0.3</v>
      </c>
      <c r="P54">
        <v>50</v>
      </c>
      <c r="Q54" s="142" t="s">
        <v>2482</v>
      </c>
      <c r="R54" s="143">
        <v>2.1</v>
      </c>
    </row>
    <row r="55" spans="2:18" x14ac:dyDescent="0.35">
      <c r="B55" s="144"/>
      <c r="C55" s="137"/>
      <c r="D55" s="134"/>
      <c r="E55" s="144" t="s">
        <v>291</v>
      </c>
      <c r="F55" s="137">
        <v>2.5000000000000001E-2</v>
      </c>
      <c r="G55" s="134"/>
      <c r="H55" s="144"/>
      <c r="I55" s="137"/>
      <c r="J55" s="134"/>
      <c r="K55" s="144" t="s">
        <v>1494</v>
      </c>
      <c r="L55" s="137">
        <v>0.1</v>
      </c>
      <c r="P55">
        <v>51</v>
      </c>
      <c r="Q55" s="142" t="s">
        <v>2342</v>
      </c>
      <c r="R55" s="143">
        <v>2.1</v>
      </c>
    </row>
    <row r="56" spans="2:18" x14ac:dyDescent="0.35">
      <c r="B56" s="144"/>
      <c r="C56" s="137"/>
      <c r="D56" s="134"/>
      <c r="E56" s="144" t="s">
        <v>290</v>
      </c>
      <c r="F56" s="137">
        <v>0.125</v>
      </c>
      <c r="G56" s="134"/>
      <c r="H56" s="144"/>
      <c r="I56" s="137"/>
      <c r="J56" s="134"/>
      <c r="K56" s="144" t="s">
        <v>2362</v>
      </c>
      <c r="L56" s="137">
        <v>0.27500000000000002</v>
      </c>
      <c r="P56">
        <v>52</v>
      </c>
      <c r="Q56" s="142" t="s">
        <v>1381</v>
      </c>
      <c r="R56" s="143">
        <v>2.15</v>
      </c>
    </row>
    <row r="57" spans="2:18" x14ac:dyDescent="0.35">
      <c r="B57" s="144"/>
      <c r="C57" s="137"/>
      <c r="D57" s="134"/>
      <c r="E57" s="144" t="s">
        <v>293</v>
      </c>
      <c r="F57" s="137">
        <v>0.15</v>
      </c>
      <c r="G57" s="134"/>
      <c r="H57" s="144"/>
      <c r="I57" s="137"/>
      <c r="J57" s="134"/>
      <c r="K57" s="144" t="s">
        <v>2363</v>
      </c>
      <c r="L57" s="137">
        <v>0.3</v>
      </c>
      <c r="P57">
        <v>53</v>
      </c>
      <c r="Q57" s="142" t="s">
        <v>2474</v>
      </c>
      <c r="R57" s="143">
        <v>2.2000000000000002</v>
      </c>
    </row>
    <row r="58" spans="2:18" x14ac:dyDescent="0.35">
      <c r="B58" s="144"/>
      <c r="C58" s="137"/>
      <c r="D58" s="134"/>
      <c r="E58" s="144" t="s">
        <v>1871</v>
      </c>
      <c r="F58" s="137">
        <v>0.25</v>
      </c>
      <c r="G58" s="134"/>
      <c r="H58" s="144"/>
      <c r="I58" s="137"/>
      <c r="J58" s="134"/>
      <c r="K58" s="144" t="s">
        <v>2364</v>
      </c>
      <c r="L58" s="137">
        <v>0.5</v>
      </c>
      <c r="P58">
        <v>54</v>
      </c>
      <c r="Q58" s="142" t="s">
        <v>2481</v>
      </c>
      <c r="R58" s="143">
        <v>2.2000000000000002</v>
      </c>
    </row>
    <row r="59" spans="2:18" x14ac:dyDescent="0.35">
      <c r="B59" s="144"/>
      <c r="C59" s="137"/>
      <c r="D59" s="134"/>
      <c r="E59" s="144" t="s">
        <v>294</v>
      </c>
      <c r="F59" s="137">
        <v>7.4999999999999997E-2</v>
      </c>
      <c r="G59" s="134"/>
      <c r="H59" s="144"/>
      <c r="I59" s="137"/>
      <c r="J59" s="134"/>
      <c r="K59" s="144" t="s">
        <v>413</v>
      </c>
      <c r="L59" s="137">
        <v>0.2</v>
      </c>
      <c r="P59">
        <v>55</v>
      </c>
      <c r="Q59" s="142" t="s">
        <v>2476</v>
      </c>
      <c r="R59" s="143">
        <v>2.2000000000000002</v>
      </c>
    </row>
    <row r="60" spans="2:18" x14ac:dyDescent="0.35">
      <c r="B60" s="144"/>
      <c r="C60" s="137"/>
      <c r="D60" s="134"/>
      <c r="E60" s="144" t="s">
        <v>295</v>
      </c>
      <c r="F60" s="137">
        <v>0.3</v>
      </c>
      <c r="G60" s="134"/>
      <c r="H60" s="144"/>
      <c r="I60" s="137"/>
      <c r="J60" s="134"/>
      <c r="K60" s="144" t="s">
        <v>1878</v>
      </c>
      <c r="L60" s="137">
        <v>0.4</v>
      </c>
      <c r="P60">
        <v>56</v>
      </c>
      <c r="Q60" s="142" t="s">
        <v>1282</v>
      </c>
      <c r="R60" s="143">
        <v>2.2000000000000002</v>
      </c>
    </row>
    <row r="61" spans="2:18" x14ac:dyDescent="0.35">
      <c r="B61" s="144"/>
      <c r="C61" s="137"/>
      <c r="D61" s="134"/>
      <c r="E61" s="144" t="s">
        <v>296</v>
      </c>
      <c r="F61" s="137">
        <v>0.1</v>
      </c>
      <c r="G61" s="134"/>
      <c r="H61" s="144"/>
      <c r="I61" s="137"/>
      <c r="J61" s="134"/>
      <c r="K61" s="144" t="s">
        <v>2365</v>
      </c>
      <c r="L61" s="137">
        <v>0.55000000000000004</v>
      </c>
      <c r="P61">
        <v>57</v>
      </c>
      <c r="Q61" s="142" t="s">
        <v>2468</v>
      </c>
      <c r="R61" s="143">
        <v>2.2000000000000002</v>
      </c>
    </row>
    <row r="62" spans="2:18" x14ac:dyDescent="0.35">
      <c r="B62" s="144"/>
      <c r="C62" s="137"/>
      <c r="D62" s="134"/>
      <c r="E62" s="144" t="s">
        <v>2415</v>
      </c>
      <c r="F62" s="137">
        <v>0.17499999999999999</v>
      </c>
      <c r="G62" s="134"/>
      <c r="H62" s="144"/>
      <c r="I62" s="137"/>
      <c r="J62" s="134"/>
      <c r="K62" s="144" t="s">
        <v>2366</v>
      </c>
      <c r="L62" s="137">
        <v>0.6</v>
      </c>
      <c r="P62">
        <v>58</v>
      </c>
      <c r="Q62" s="142" t="s">
        <v>2472</v>
      </c>
      <c r="R62" s="143">
        <v>2.2000000000000002</v>
      </c>
    </row>
    <row r="63" spans="2:18" x14ac:dyDescent="0.35">
      <c r="B63" s="144"/>
      <c r="C63" s="137"/>
      <c r="D63" s="134"/>
      <c r="E63" s="144" t="s">
        <v>301</v>
      </c>
      <c r="F63" s="137">
        <v>0.2</v>
      </c>
      <c r="G63" s="134"/>
      <c r="H63" s="144"/>
      <c r="I63" s="137"/>
      <c r="J63" s="134"/>
      <c r="K63" s="144" t="s">
        <v>1879</v>
      </c>
      <c r="L63" s="137">
        <v>0.45</v>
      </c>
      <c r="P63">
        <v>59</v>
      </c>
      <c r="Q63" s="142" t="s">
        <v>105</v>
      </c>
      <c r="R63" s="143">
        <v>2.2000000000000002</v>
      </c>
    </row>
    <row r="64" spans="2:18" x14ac:dyDescent="0.35">
      <c r="B64" s="144"/>
      <c r="C64" s="137"/>
      <c r="D64" s="134"/>
      <c r="E64" s="144" t="s">
        <v>1495</v>
      </c>
      <c r="F64" s="137">
        <v>0.55000000000000004</v>
      </c>
      <c r="G64" s="134"/>
      <c r="H64" s="144"/>
      <c r="I64" s="137"/>
      <c r="J64" s="134"/>
      <c r="K64" s="144" t="s">
        <v>2367</v>
      </c>
      <c r="L64" s="137">
        <v>0.25</v>
      </c>
      <c r="P64">
        <v>60</v>
      </c>
      <c r="Q64" s="142" t="s">
        <v>2470</v>
      </c>
      <c r="R64" s="143">
        <v>2.4</v>
      </c>
    </row>
    <row r="65" spans="2:18" x14ac:dyDescent="0.35">
      <c r="B65" s="144"/>
      <c r="C65" s="137"/>
      <c r="D65" s="134"/>
      <c r="E65" s="144" t="s">
        <v>2491</v>
      </c>
      <c r="F65" s="137">
        <v>0.6</v>
      </c>
      <c r="G65" s="134"/>
      <c r="H65" s="144"/>
      <c r="I65" s="137"/>
      <c r="J65" s="134"/>
      <c r="K65" s="144" t="s">
        <v>2368</v>
      </c>
      <c r="L65" s="137">
        <v>0.7</v>
      </c>
      <c r="P65">
        <v>61</v>
      </c>
      <c r="Q65" s="142" t="s">
        <v>2478</v>
      </c>
      <c r="R65" s="143">
        <v>2.4</v>
      </c>
    </row>
    <row r="66" spans="2:18" x14ac:dyDescent="0.35">
      <c r="B66" s="144"/>
      <c r="C66" s="137"/>
      <c r="D66" s="134"/>
      <c r="E66" s="144" t="s">
        <v>1496</v>
      </c>
      <c r="F66" s="137">
        <v>0.05</v>
      </c>
      <c r="G66" s="134"/>
      <c r="H66" s="144"/>
      <c r="I66" s="137"/>
      <c r="J66" s="134"/>
      <c r="K66" s="144" t="s">
        <v>2369</v>
      </c>
      <c r="L66" s="137">
        <v>0.42499999999999999</v>
      </c>
      <c r="P66">
        <v>62</v>
      </c>
      <c r="Q66" s="142" t="s">
        <v>2477</v>
      </c>
      <c r="R66" s="143">
        <v>2.4</v>
      </c>
    </row>
    <row r="67" spans="2:18" x14ac:dyDescent="0.35">
      <c r="B67" s="144"/>
      <c r="C67" s="137"/>
      <c r="D67" s="134"/>
      <c r="E67" s="144" t="s">
        <v>1872</v>
      </c>
      <c r="F67" s="137">
        <v>1.25</v>
      </c>
      <c r="G67" s="134"/>
      <c r="H67" s="144"/>
      <c r="I67" s="137"/>
      <c r="J67" s="134"/>
      <c r="K67" s="144"/>
      <c r="L67" s="137"/>
      <c r="P67">
        <v>63</v>
      </c>
      <c r="Q67" s="142" t="s">
        <v>2479</v>
      </c>
      <c r="R67" s="143">
        <v>2.4</v>
      </c>
    </row>
    <row r="68" spans="2:18" x14ac:dyDescent="0.35">
      <c r="B68" s="144"/>
      <c r="C68" s="137"/>
      <c r="D68" s="134"/>
      <c r="E68" s="144" t="s">
        <v>1873</v>
      </c>
      <c r="F68" s="137">
        <v>1.1000000000000001</v>
      </c>
      <c r="G68" s="134"/>
      <c r="H68" s="144"/>
      <c r="I68" s="137"/>
      <c r="J68" s="134"/>
      <c r="K68" s="144"/>
      <c r="L68" s="137"/>
      <c r="P68">
        <v>64</v>
      </c>
      <c r="Q68" s="142" t="s">
        <v>2480</v>
      </c>
      <c r="R68" s="143">
        <v>2.5</v>
      </c>
    </row>
    <row r="69" spans="2:18" x14ac:dyDescent="0.35">
      <c r="B69" s="144"/>
      <c r="C69" s="137"/>
      <c r="D69" s="134"/>
      <c r="E69" s="144" t="s">
        <v>2348</v>
      </c>
      <c r="F69" s="137">
        <v>1.4</v>
      </c>
      <c r="G69" s="134"/>
      <c r="H69" s="144"/>
      <c r="I69" s="137"/>
      <c r="J69" s="134"/>
      <c r="K69" s="144"/>
      <c r="L69" s="137"/>
      <c r="P69">
        <v>65</v>
      </c>
      <c r="Q69" s="142" t="s">
        <v>2471</v>
      </c>
      <c r="R69" s="143">
        <v>2.8</v>
      </c>
    </row>
    <row r="70" spans="2:18" x14ac:dyDescent="0.35">
      <c r="B70" s="144"/>
      <c r="C70" s="137"/>
      <c r="D70" s="134"/>
      <c r="E70" s="144" t="s">
        <v>2490</v>
      </c>
      <c r="F70" s="137">
        <v>0.72499999999999998</v>
      </c>
      <c r="G70" s="134"/>
      <c r="H70" s="144"/>
      <c r="I70" s="137"/>
      <c r="J70" s="134"/>
      <c r="K70" s="144"/>
      <c r="L70" s="137"/>
      <c r="P70">
        <v>66</v>
      </c>
      <c r="Q70" s="142" t="s">
        <v>2475</v>
      </c>
      <c r="R70" s="143">
        <v>2.8</v>
      </c>
    </row>
    <row r="71" spans="2:18" x14ac:dyDescent="0.35">
      <c r="B71" s="144"/>
      <c r="C71" s="137"/>
      <c r="D71" s="134"/>
      <c r="E71" s="144" t="s">
        <v>2349</v>
      </c>
      <c r="F71" s="137">
        <v>0.65</v>
      </c>
      <c r="G71" s="134"/>
      <c r="H71" s="144"/>
      <c r="I71" s="137"/>
      <c r="J71" s="134"/>
      <c r="K71" s="144"/>
      <c r="L71" s="137"/>
      <c r="Q71" s="142"/>
      <c r="R71" s="143"/>
    </row>
    <row r="72" spans="2:18" x14ac:dyDescent="0.35">
      <c r="B72" s="144"/>
      <c r="C72" s="137"/>
      <c r="D72" s="134"/>
      <c r="E72" s="144" t="s">
        <v>2416</v>
      </c>
      <c r="F72" s="137">
        <v>0.77500000000000002</v>
      </c>
      <c r="G72" s="134"/>
      <c r="H72" s="144"/>
      <c r="I72" s="137"/>
      <c r="J72" s="134"/>
      <c r="K72" s="144"/>
      <c r="L72" s="137"/>
      <c r="Q72" s="142"/>
      <c r="R72" s="143"/>
    </row>
    <row r="73" spans="2:18" x14ac:dyDescent="0.35">
      <c r="B73" s="144"/>
      <c r="C73" s="137"/>
      <c r="D73" s="134"/>
      <c r="E73" s="144" t="s">
        <v>2484</v>
      </c>
      <c r="F73" s="137">
        <v>0.75</v>
      </c>
      <c r="G73" s="134"/>
      <c r="H73" s="144"/>
      <c r="I73" s="137"/>
      <c r="J73" s="134"/>
      <c r="K73" s="144"/>
      <c r="L73" s="137"/>
      <c r="Q73" s="142"/>
      <c r="R73" s="143"/>
    </row>
    <row r="74" spans="2:18" x14ac:dyDescent="0.35">
      <c r="B74" s="144"/>
      <c r="C74" s="137"/>
      <c r="D74" s="134"/>
      <c r="E74" s="144" t="s">
        <v>2350</v>
      </c>
      <c r="F74" s="137">
        <v>0.95</v>
      </c>
      <c r="G74" s="134"/>
      <c r="H74" s="144"/>
      <c r="I74" s="137"/>
      <c r="J74" s="134"/>
      <c r="K74" s="144"/>
      <c r="L74" s="137"/>
      <c r="Q74" s="142"/>
      <c r="R74" s="143"/>
    </row>
    <row r="75" spans="2:18" x14ac:dyDescent="0.35">
      <c r="B75" s="144"/>
      <c r="C75" s="137"/>
      <c r="D75" s="134"/>
      <c r="E75" s="144" t="s">
        <v>2351</v>
      </c>
      <c r="F75" s="137">
        <v>0.75</v>
      </c>
      <c r="G75" s="134"/>
      <c r="H75" s="144"/>
      <c r="I75" s="137"/>
      <c r="J75" s="134"/>
      <c r="K75" s="144"/>
      <c r="L75" s="137"/>
      <c r="Q75" s="142"/>
      <c r="R75" s="143"/>
    </row>
    <row r="76" spans="2:18" x14ac:dyDescent="0.35">
      <c r="B76" s="144"/>
      <c r="C76" s="137"/>
      <c r="D76" s="134"/>
      <c r="E76" s="144"/>
      <c r="F76" s="137"/>
      <c r="G76" s="134"/>
      <c r="H76" s="144"/>
      <c r="I76" s="137"/>
      <c r="J76" s="134"/>
      <c r="K76" s="144"/>
      <c r="L76" s="137"/>
      <c r="Q76" s="142"/>
      <c r="R76" s="143"/>
    </row>
    <row r="77" spans="2:18" x14ac:dyDescent="0.35">
      <c r="B77" s="144"/>
      <c r="C77" s="137"/>
      <c r="D77" s="134"/>
      <c r="E77" s="144"/>
      <c r="F77" s="137"/>
      <c r="G77" s="134"/>
      <c r="H77" s="144"/>
      <c r="I77" s="137"/>
      <c r="J77" s="134"/>
      <c r="K77" s="144"/>
      <c r="L77" s="137"/>
      <c r="Q77" s="142"/>
      <c r="R77" s="143"/>
    </row>
    <row r="78" spans="2:18" x14ac:dyDescent="0.35">
      <c r="Q78" s="142"/>
      <c r="R78" s="143"/>
    </row>
    <row r="79" spans="2:18" x14ac:dyDescent="0.35">
      <c r="Q79" s="142"/>
      <c r="R79" s="143"/>
    </row>
    <row r="80" spans="2:18" x14ac:dyDescent="0.35">
      <c r="Q80" s="142"/>
      <c r="R80" s="143"/>
    </row>
    <row r="81" spans="2:18" ht="15.5" x14ac:dyDescent="0.35">
      <c r="B81" s="410" t="s">
        <v>2381</v>
      </c>
      <c r="C81" s="412"/>
      <c r="D81" s="412"/>
      <c r="E81" s="412"/>
      <c r="F81" s="412"/>
      <c r="G81" s="412"/>
      <c r="H81" s="412"/>
      <c r="I81" s="412"/>
      <c r="J81" s="412"/>
      <c r="K81" s="412"/>
      <c r="L81" s="411"/>
      <c r="Q81" s="142"/>
      <c r="R81" s="143"/>
    </row>
    <row r="82" spans="2:18" ht="15.5" x14ac:dyDescent="0.35">
      <c r="B82" s="412" t="s">
        <v>1467</v>
      </c>
      <c r="C82" s="412"/>
      <c r="D82" s="134"/>
      <c r="E82" s="412" t="s">
        <v>1468</v>
      </c>
      <c r="F82" s="412"/>
      <c r="G82" s="134"/>
      <c r="H82" s="412" t="s">
        <v>1469</v>
      </c>
      <c r="I82" s="412"/>
      <c r="J82" s="134"/>
      <c r="K82" s="412" t="s">
        <v>1470</v>
      </c>
      <c r="L82" s="412"/>
      <c r="Q82" s="142"/>
      <c r="R82" s="143"/>
    </row>
    <row r="83" spans="2:18" x14ac:dyDescent="0.35">
      <c r="B83" s="135" t="s">
        <v>1471</v>
      </c>
      <c r="C83" s="135" t="s">
        <v>1472</v>
      </c>
      <c r="D83" s="150"/>
      <c r="E83" s="135" t="s">
        <v>1471</v>
      </c>
      <c r="F83" s="135" t="s">
        <v>1472</v>
      </c>
      <c r="G83" s="150"/>
      <c r="H83" s="135" t="s">
        <v>1471</v>
      </c>
      <c r="I83" s="135" t="s">
        <v>1472</v>
      </c>
      <c r="J83" s="150"/>
      <c r="K83" s="135" t="s">
        <v>1471</v>
      </c>
      <c r="L83" s="135" t="s">
        <v>1472</v>
      </c>
      <c r="Q83" s="142"/>
      <c r="R83" s="143"/>
    </row>
    <row r="84" spans="2:18" x14ac:dyDescent="0.35">
      <c r="B84" s="144"/>
      <c r="C84" s="137"/>
      <c r="D84" s="134"/>
      <c r="E84" s="144"/>
      <c r="F84" s="137"/>
      <c r="G84" s="134"/>
      <c r="H84" s="144"/>
      <c r="I84" s="137"/>
      <c r="J84" s="134"/>
      <c r="K84" s="144"/>
      <c r="L84" s="137"/>
      <c r="Q84" s="142"/>
      <c r="R84" s="143"/>
    </row>
    <row r="85" spans="2:18" x14ac:dyDescent="0.35">
      <c r="B85" s="144" t="s">
        <v>219</v>
      </c>
      <c r="C85" s="137">
        <v>0.05</v>
      </c>
      <c r="D85" s="134"/>
      <c r="E85" s="144" t="s">
        <v>1487</v>
      </c>
      <c r="F85" s="137"/>
      <c r="G85" s="134"/>
      <c r="H85" s="144" t="s">
        <v>219</v>
      </c>
      <c r="I85" s="137">
        <v>0.05</v>
      </c>
      <c r="J85" s="134"/>
      <c r="K85" s="144" t="s">
        <v>1487</v>
      </c>
      <c r="L85" s="137"/>
      <c r="Q85" s="142"/>
      <c r="R85" s="143"/>
    </row>
    <row r="86" spans="2:18" x14ac:dyDescent="0.35">
      <c r="B86" s="144" t="s">
        <v>215</v>
      </c>
      <c r="C86" s="137">
        <v>0.05</v>
      </c>
      <c r="D86" s="134"/>
      <c r="E86" s="144"/>
      <c r="F86" s="137"/>
      <c r="G86" s="134"/>
      <c r="H86" s="144" t="s">
        <v>215</v>
      </c>
      <c r="I86" s="137">
        <v>0.05</v>
      </c>
      <c r="J86" s="134"/>
      <c r="K86" s="144"/>
      <c r="L86" s="137"/>
    </row>
    <row r="87" spans="2:18" x14ac:dyDescent="0.35">
      <c r="B87" s="144" t="s">
        <v>216</v>
      </c>
      <c r="C87" s="137">
        <v>0.1</v>
      </c>
      <c r="D87" s="134"/>
      <c r="E87" s="144"/>
      <c r="F87" s="137"/>
      <c r="G87" s="134"/>
      <c r="H87" s="144" t="s">
        <v>216</v>
      </c>
      <c r="I87" s="137">
        <v>0.1</v>
      </c>
      <c r="J87" s="134"/>
      <c r="K87" s="144"/>
      <c r="L87" s="137"/>
    </row>
    <row r="88" spans="2:18" x14ac:dyDescent="0.35">
      <c r="B88" s="144" t="s">
        <v>218</v>
      </c>
      <c r="C88" s="137">
        <v>0.2</v>
      </c>
      <c r="D88" s="134"/>
      <c r="E88" s="144"/>
      <c r="F88" s="137"/>
      <c r="G88" s="134"/>
      <c r="H88" s="144" t="s">
        <v>218</v>
      </c>
      <c r="I88" s="137">
        <v>0.2</v>
      </c>
      <c r="J88" s="134"/>
      <c r="K88" s="144"/>
      <c r="L88" s="137"/>
    </row>
    <row r="89" spans="2:18" x14ac:dyDescent="0.35">
      <c r="B89" s="144" t="s">
        <v>220</v>
      </c>
      <c r="C89" s="137">
        <v>0.4</v>
      </c>
      <c r="D89" s="134"/>
      <c r="E89" s="144"/>
      <c r="F89" s="137"/>
      <c r="G89" s="134"/>
      <c r="H89" s="144" t="s">
        <v>220</v>
      </c>
      <c r="I89" s="137">
        <v>0.4</v>
      </c>
      <c r="J89" s="134"/>
      <c r="K89" s="144"/>
      <c r="L89" s="137"/>
    </row>
    <row r="90" spans="2:18" x14ac:dyDescent="0.35">
      <c r="B90" s="144"/>
      <c r="C90" s="137"/>
      <c r="D90" s="134"/>
      <c r="E90" s="144"/>
      <c r="F90" s="137"/>
      <c r="G90" s="134"/>
      <c r="H90" s="144" t="s">
        <v>1893</v>
      </c>
      <c r="I90" s="137">
        <v>0.2</v>
      </c>
      <c r="J90" s="134"/>
      <c r="K90" s="144"/>
      <c r="L90" s="137"/>
    </row>
    <row r="91" spans="2:18" x14ac:dyDescent="0.35">
      <c r="B91" s="144"/>
      <c r="C91" s="137"/>
      <c r="D91" s="134"/>
      <c r="E91" s="144"/>
      <c r="F91" s="137"/>
      <c r="G91" s="134"/>
      <c r="H91" s="144"/>
      <c r="I91" s="137"/>
      <c r="J91" s="134"/>
      <c r="K91" s="144"/>
      <c r="L91" s="137"/>
    </row>
    <row r="92" spans="2:18" x14ac:dyDescent="0.35">
      <c r="B92" s="144"/>
      <c r="C92" s="137"/>
      <c r="D92" s="134"/>
      <c r="E92" s="144"/>
      <c r="F92" s="137"/>
      <c r="G92" s="134"/>
      <c r="H92" s="144"/>
      <c r="I92" s="137"/>
      <c r="J92" s="134"/>
      <c r="K92" s="144"/>
      <c r="L92" s="137"/>
    </row>
    <row r="93" spans="2:18" x14ac:dyDescent="0.35">
      <c r="B93" s="144"/>
      <c r="C93" s="137"/>
      <c r="D93" s="134"/>
      <c r="E93" s="144"/>
      <c r="F93" s="137"/>
      <c r="G93" s="134"/>
      <c r="H93" s="144"/>
      <c r="I93" s="137"/>
      <c r="J93" s="134"/>
      <c r="K93" s="144"/>
      <c r="L93" s="137"/>
    </row>
    <row r="94" spans="2:18" x14ac:dyDescent="0.35">
      <c r="B94" s="144"/>
      <c r="C94" s="137"/>
      <c r="D94" s="134"/>
      <c r="E94" s="144"/>
      <c r="F94" s="137"/>
      <c r="G94" s="134"/>
      <c r="H94" s="144"/>
      <c r="I94" s="137"/>
      <c r="J94" s="134"/>
      <c r="K94" s="144"/>
      <c r="L94" s="137"/>
    </row>
    <row r="95" spans="2:18" x14ac:dyDescent="0.35">
      <c r="B95" s="144"/>
      <c r="C95" s="137"/>
      <c r="D95" s="134"/>
      <c r="E95" s="144"/>
      <c r="F95" s="137"/>
      <c r="G95" s="134"/>
      <c r="H95" s="144"/>
      <c r="I95" s="137"/>
      <c r="J95" s="134"/>
      <c r="K95" s="144"/>
      <c r="L95" s="137"/>
    </row>
    <row r="96" spans="2:18" x14ac:dyDescent="0.35">
      <c r="B96" s="144"/>
      <c r="C96" s="137"/>
      <c r="D96" s="134"/>
      <c r="E96" s="144"/>
      <c r="F96" s="137"/>
      <c r="G96" s="134"/>
      <c r="H96" s="144"/>
      <c r="I96" s="137"/>
      <c r="J96" s="134"/>
      <c r="K96" s="144"/>
      <c r="L96" s="137"/>
    </row>
    <row r="97" spans="2:18" x14ac:dyDescent="0.35">
      <c r="B97" s="144"/>
      <c r="C97" s="137"/>
      <c r="D97" s="134"/>
      <c r="E97" s="144"/>
      <c r="F97" s="137"/>
      <c r="G97" s="134"/>
      <c r="H97" s="144"/>
      <c r="I97" s="137"/>
      <c r="J97" s="134"/>
      <c r="K97" s="144"/>
      <c r="L97" s="137"/>
    </row>
    <row r="98" spans="2:18" x14ac:dyDescent="0.35">
      <c r="B98" s="144"/>
      <c r="C98" s="137"/>
      <c r="D98" s="134"/>
      <c r="E98" s="144"/>
      <c r="F98" s="137"/>
      <c r="G98" s="134"/>
      <c r="H98" s="144"/>
      <c r="I98" s="137"/>
      <c r="J98" s="134"/>
      <c r="K98" s="144"/>
      <c r="L98" s="137"/>
    </row>
    <row r="99" spans="2:18" x14ac:dyDescent="0.35">
      <c r="B99" s="144"/>
      <c r="C99" s="137"/>
      <c r="D99" s="134"/>
      <c r="E99" s="144"/>
      <c r="F99" s="137"/>
      <c r="G99" s="134"/>
      <c r="H99" s="144"/>
      <c r="I99" s="137"/>
      <c r="J99" s="134"/>
      <c r="K99" s="144"/>
      <c r="L99" s="137"/>
    </row>
    <row r="100" spans="2:18" x14ac:dyDescent="0.35">
      <c r="B100" s="144"/>
      <c r="C100" s="137"/>
      <c r="D100" s="134"/>
      <c r="E100" s="144"/>
      <c r="F100" s="137"/>
      <c r="G100" s="134"/>
      <c r="H100" s="144"/>
      <c r="I100" s="137"/>
      <c r="J100" s="134"/>
      <c r="K100" s="144"/>
      <c r="L100" s="137"/>
    </row>
    <row r="101" spans="2:18" x14ac:dyDescent="0.35">
      <c r="B101" s="144"/>
      <c r="C101" s="137"/>
      <c r="D101" s="134"/>
      <c r="E101" s="144"/>
      <c r="F101" s="137"/>
      <c r="G101" s="134"/>
      <c r="H101" s="144"/>
      <c r="I101" s="137"/>
      <c r="J101" s="134"/>
      <c r="K101" s="144"/>
      <c r="L101" s="137"/>
    </row>
    <row r="102" spans="2:18" s="1" customFormat="1" x14ac:dyDescent="0.35">
      <c r="B102" s="3"/>
      <c r="C102"/>
      <c r="D102"/>
      <c r="E102" s="3"/>
      <c r="F102"/>
      <c r="G102"/>
      <c r="H102" s="3"/>
      <c r="I102"/>
      <c r="J102"/>
      <c r="K102" s="3"/>
      <c r="L102"/>
      <c r="M102"/>
      <c r="N102"/>
      <c r="O102"/>
      <c r="P102"/>
      <c r="R102" s="151"/>
    </row>
    <row r="105" spans="2:18" ht="15.5" x14ac:dyDescent="0.35">
      <c r="B105" s="410" t="s">
        <v>2383</v>
      </c>
      <c r="C105" s="412"/>
      <c r="D105" s="412"/>
      <c r="E105" s="412"/>
      <c r="F105" s="412"/>
      <c r="G105" s="412"/>
      <c r="H105" s="412"/>
      <c r="I105" s="412"/>
      <c r="J105" s="412"/>
      <c r="K105" s="412"/>
      <c r="L105" s="412"/>
      <c r="M105" s="412"/>
      <c r="N105" s="412"/>
      <c r="O105" s="412"/>
      <c r="P105" s="411"/>
    </row>
    <row r="106" spans="2:18" ht="15.5" x14ac:dyDescent="0.35">
      <c r="B106" s="412" t="s">
        <v>1467</v>
      </c>
      <c r="C106" s="412"/>
      <c r="D106" s="412"/>
      <c r="F106" s="412" t="s">
        <v>1468</v>
      </c>
      <c r="G106" s="412"/>
      <c r="H106" s="412"/>
      <c r="J106" s="412" t="s">
        <v>1469</v>
      </c>
      <c r="K106" s="412"/>
      <c r="L106" s="412"/>
      <c r="N106" s="412" t="s">
        <v>1470</v>
      </c>
      <c r="O106" s="412"/>
      <c r="P106" s="412"/>
    </row>
    <row r="107" spans="2:18" x14ac:dyDescent="0.35">
      <c r="B107" s="135" t="s">
        <v>1498</v>
      </c>
      <c r="C107" s="135" t="s">
        <v>1471</v>
      </c>
      <c r="D107" s="135" t="s">
        <v>1472</v>
      </c>
      <c r="E107" s="1"/>
      <c r="F107" s="135" t="s">
        <v>1498</v>
      </c>
      <c r="G107" s="135" t="s">
        <v>1471</v>
      </c>
      <c r="H107" s="135" t="s">
        <v>1472</v>
      </c>
      <c r="I107" s="1"/>
      <c r="J107" s="135" t="s">
        <v>1498</v>
      </c>
      <c r="K107" s="135" t="s">
        <v>1471</v>
      </c>
      <c r="L107" s="135" t="s">
        <v>1472</v>
      </c>
      <c r="M107" s="1"/>
      <c r="N107" s="135" t="s">
        <v>1498</v>
      </c>
      <c r="O107" s="135" t="s">
        <v>1471</v>
      </c>
      <c r="P107" s="135" t="s">
        <v>1472</v>
      </c>
    </row>
    <row r="108" spans="2:18" x14ac:dyDescent="0.35">
      <c r="B108" s="146"/>
      <c r="C108" s="140"/>
      <c r="D108" s="137"/>
      <c r="F108" s="139"/>
      <c r="G108" s="140"/>
      <c r="H108" s="148"/>
      <c r="J108" s="139"/>
      <c r="K108" s="149"/>
      <c r="L108" s="137"/>
      <c r="N108" s="139"/>
      <c r="O108" s="140"/>
      <c r="P108" s="137"/>
    </row>
    <row r="109" spans="2:18" x14ac:dyDescent="0.35">
      <c r="B109" s="146">
        <v>1</v>
      </c>
      <c r="C109" s="140" t="s">
        <v>406</v>
      </c>
      <c r="D109" s="137">
        <v>0.125</v>
      </c>
      <c r="F109" s="139">
        <v>1</v>
      </c>
      <c r="G109" s="140" t="s">
        <v>314</v>
      </c>
      <c r="H109" s="148">
        <v>0.125</v>
      </c>
      <c r="J109" s="139">
        <v>1</v>
      </c>
      <c r="K109" s="149" t="s">
        <v>406</v>
      </c>
      <c r="L109" s="137">
        <v>0.125</v>
      </c>
      <c r="N109" s="139">
        <v>1</v>
      </c>
      <c r="O109" s="140" t="s">
        <v>314</v>
      </c>
      <c r="P109" s="137">
        <v>0.125</v>
      </c>
    </row>
    <row r="110" spans="2:18" x14ac:dyDescent="0.35">
      <c r="B110" s="146">
        <v>2</v>
      </c>
      <c r="C110" s="140" t="s">
        <v>412</v>
      </c>
      <c r="D110" s="137">
        <v>0.2</v>
      </c>
      <c r="F110" s="139">
        <v>2</v>
      </c>
      <c r="G110" s="140" t="s">
        <v>319</v>
      </c>
      <c r="H110" s="148">
        <v>0.3</v>
      </c>
      <c r="J110" s="139">
        <v>2</v>
      </c>
      <c r="K110" s="149" t="s">
        <v>412</v>
      </c>
      <c r="L110" s="137">
        <v>0.2</v>
      </c>
      <c r="N110" s="139">
        <v>2</v>
      </c>
      <c r="O110" s="140" t="s">
        <v>319</v>
      </c>
      <c r="P110" s="137">
        <v>0.3</v>
      </c>
    </row>
    <row r="111" spans="2:18" x14ac:dyDescent="0.35">
      <c r="B111" s="146">
        <v>3</v>
      </c>
      <c r="C111" s="140" t="s">
        <v>420</v>
      </c>
      <c r="D111" s="137">
        <v>0.05</v>
      </c>
      <c r="F111" s="139">
        <v>3</v>
      </c>
      <c r="G111" s="140" t="s">
        <v>324</v>
      </c>
      <c r="H111" s="148">
        <v>0.4</v>
      </c>
      <c r="J111" s="139">
        <v>3</v>
      </c>
      <c r="K111" s="149" t="s">
        <v>420</v>
      </c>
      <c r="L111" s="137">
        <v>0.05</v>
      </c>
      <c r="N111" s="139">
        <v>3</v>
      </c>
      <c r="O111" s="140" t="s">
        <v>324</v>
      </c>
      <c r="P111" s="137">
        <v>0.4</v>
      </c>
    </row>
    <row r="112" spans="2:18" x14ac:dyDescent="0.35">
      <c r="B112" s="146">
        <v>4</v>
      </c>
      <c r="C112" s="140" t="s">
        <v>336</v>
      </c>
      <c r="D112" s="137">
        <v>0.1</v>
      </c>
      <c r="F112" s="139">
        <v>4</v>
      </c>
      <c r="G112" s="140" t="s">
        <v>326</v>
      </c>
      <c r="H112" s="148">
        <v>0.15</v>
      </c>
      <c r="J112" s="139">
        <v>4</v>
      </c>
      <c r="K112" s="149" t="s">
        <v>336</v>
      </c>
      <c r="L112" s="137">
        <v>0.1</v>
      </c>
      <c r="N112" s="139">
        <v>4</v>
      </c>
      <c r="O112" s="140" t="s">
        <v>326</v>
      </c>
      <c r="P112" s="137">
        <v>0.15</v>
      </c>
    </row>
    <row r="113" spans="2:16" x14ac:dyDescent="0.35">
      <c r="B113" s="146">
        <v>5</v>
      </c>
      <c r="C113" s="140" t="s">
        <v>416</v>
      </c>
      <c r="D113" s="137">
        <v>0.25</v>
      </c>
      <c r="F113" s="139">
        <v>5</v>
      </c>
      <c r="G113" s="140" t="s">
        <v>330</v>
      </c>
      <c r="H113" s="148">
        <v>0.32500000000000001</v>
      </c>
      <c r="J113" s="139">
        <v>5</v>
      </c>
      <c r="K113" s="149" t="s">
        <v>416</v>
      </c>
      <c r="L113" s="137">
        <v>0.25</v>
      </c>
      <c r="N113" s="139">
        <v>5</v>
      </c>
      <c r="O113" s="140" t="s">
        <v>330</v>
      </c>
      <c r="P113" s="137">
        <v>0.32500000000000001</v>
      </c>
    </row>
    <row r="114" spans="2:16" x14ac:dyDescent="0.35">
      <c r="B114" s="146">
        <v>6</v>
      </c>
      <c r="C114" s="140" t="s">
        <v>424</v>
      </c>
      <c r="D114" s="137">
        <v>0.17499999999999999</v>
      </c>
      <c r="F114" s="139">
        <v>6</v>
      </c>
      <c r="G114" s="140" t="s">
        <v>332</v>
      </c>
      <c r="H114" s="148">
        <v>0.42499999999999999</v>
      </c>
      <c r="J114" s="139">
        <v>6</v>
      </c>
      <c r="K114" s="149" t="s">
        <v>424</v>
      </c>
      <c r="L114" s="137">
        <v>0.17499999999999999</v>
      </c>
      <c r="N114" s="139">
        <v>6</v>
      </c>
      <c r="O114" s="140" t="s">
        <v>332</v>
      </c>
      <c r="P114" s="137">
        <v>0.42499999999999999</v>
      </c>
    </row>
    <row r="115" spans="2:16" x14ac:dyDescent="0.35">
      <c r="B115" s="146">
        <v>7</v>
      </c>
      <c r="C115" s="140" t="s">
        <v>426</v>
      </c>
      <c r="D115" s="137">
        <v>0.3</v>
      </c>
      <c r="F115" s="139">
        <v>7</v>
      </c>
      <c r="G115" s="140" t="s">
        <v>334</v>
      </c>
      <c r="H115" s="148">
        <v>0.5</v>
      </c>
      <c r="J115" s="139">
        <v>7</v>
      </c>
      <c r="K115" s="149" t="s">
        <v>426</v>
      </c>
      <c r="L115" s="137">
        <v>0.3</v>
      </c>
      <c r="N115" s="139">
        <v>7</v>
      </c>
      <c r="O115" s="140" t="s">
        <v>334</v>
      </c>
      <c r="P115" s="137">
        <v>0.5</v>
      </c>
    </row>
    <row r="116" spans="2:16" x14ac:dyDescent="0.35">
      <c r="B116" s="146"/>
      <c r="C116" s="140"/>
      <c r="D116" s="137"/>
      <c r="F116" s="139">
        <v>8</v>
      </c>
      <c r="G116" s="140" t="s">
        <v>1499</v>
      </c>
      <c r="H116" s="148">
        <v>0.05</v>
      </c>
      <c r="J116" s="139">
        <v>8</v>
      </c>
      <c r="K116" s="149" t="s">
        <v>314</v>
      </c>
      <c r="L116" s="137">
        <v>0.125</v>
      </c>
      <c r="N116" s="139">
        <v>8</v>
      </c>
      <c r="O116" s="140" t="s">
        <v>1499</v>
      </c>
      <c r="P116" s="137">
        <v>0.05</v>
      </c>
    </row>
    <row r="117" spans="2:16" x14ac:dyDescent="0.35">
      <c r="B117" s="146"/>
      <c r="C117" s="140"/>
      <c r="D117" s="137"/>
      <c r="F117" s="139">
        <v>9</v>
      </c>
      <c r="G117" s="140" t="s">
        <v>342</v>
      </c>
      <c r="H117" s="148">
        <v>7.4999999999999997E-2</v>
      </c>
      <c r="J117" s="139">
        <v>9</v>
      </c>
      <c r="K117" s="149" t="s">
        <v>319</v>
      </c>
      <c r="L117" s="137">
        <v>0.3</v>
      </c>
      <c r="N117" s="139">
        <v>9</v>
      </c>
      <c r="O117" s="140" t="s">
        <v>342</v>
      </c>
      <c r="P117" s="137">
        <v>7.4999999999999997E-2</v>
      </c>
    </row>
    <row r="118" spans="2:16" x14ac:dyDescent="0.35">
      <c r="B118" s="146"/>
      <c r="C118" s="140"/>
      <c r="D118" s="137"/>
      <c r="F118" s="139">
        <v>10</v>
      </c>
      <c r="G118" s="140" t="s">
        <v>2352</v>
      </c>
      <c r="H118" s="148">
        <v>0.1</v>
      </c>
      <c r="J118" s="139">
        <v>10</v>
      </c>
      <c r="K118" s="149" t="s">
        <v>324</v>
      </c>
      <c r="L118" s="137">
        <v>0.4</v>
      </c>
      <c r="N118" s="139">
        <v>10</v>
      </c>
      <c r="O118" s="140" t="s">
        <v>2352</v>
      </c>
      <c r="P118" s="137">
        <v>0.1</v>
      </c>
    </row>
    <row r="119" spans="2:16" x14ac:dyDescent="0.35">
      <c r="B119" s="146"/>
      <c r="C119" s="140"/>
      <c r="D119" s="137"/>
      <c r="F119" s="139">
        <v>11</v>
      </c>
      <c r="G119" s="140" t="s">
        <v>2353</v>
      </c>
      <c r="H119" s="148">
        <v>2.5000000000000001E-2</v>
      </c>
      <c r="J119" s="139">
        <v>11</v>
      </c>
      <c r="K119" s="149" t="s">
        <v>326</v>
      </c>
      <c r="L119" s="137">
        <v>0.15</v>
      </c>
      <c r="N119" s="139">
        <v>11</v>
      </c>
      <c r="O119" s="140" t="s">
        <v>2353</v>
      </c>
      <c r="P119" s="137">
        <v>2.5000000000000001E-2</v>
      </c>
    </row>
    <row r="120" spans="2:16" x14ac:dyDescent="0.35">
      <c r="B120" s="146"/>
      <c r="C120" s="140"/>
      <c r="D120" s="137"/>
      <c r="F120" s="139">
        <v>12</v>
      </c>
      <c r="G120" s="140" t="s">
        <v>344</v>
      </c>
      <c r="H120" s="148">
        <v>0.17499999999999999</v>
      </c>
      <c r="J120" s="139">
        <v>12</v>
      </c>
      <c r="K120" s="149" t="s">
        <v>330</v>
      </c>
      <c r="L120" s="137">
        <v>0.32500000000000001</v>
      </c>
      <c r="N120" s="139">
        <v>12</v>
      </c>
      <c r="O120" s="140" t="s">
        <v>344</v>
      </c>
      <c r="P120" s="137">
        <v>0.17499999999999999</v>
      </c>
    </row>
    <row r="121" spans="2:16" x14ac:dyDescent="0.35">
      <c r="B121" s="146"/>
      <c r="C121" s="140"/>
      <c r="D121" s="137"/>
      <c r="F121" s="139">
        <v>13</v>
      </c>
      <c r="G121" s="140" t="s">
        <v>1500</v>
      </c>
      <c r="H121" s="148">
        <v>0.45</v>
      </c>
      <c r="J121" s="139">
        <v>13</v>
      </c>
      <c r="K121" s="149" t="s">
        <v>332</v>
      </c>
      <c r="L121" s="137">
        <v>0.42499999999999999</v>
      </c>
      <c r="N121" s="139">
        <v>13</v>
      </c>
      <c r="O121" s="140" t="s">
        <v>1500</v>
      </c>
      <c r="P121" s="137">
        <v>0.45</v>
      </c>
    </row>
    <row r="122" spans="2:16" x14ac:dyDescent="0.35">
      <c r="B122" s="146"/>
      <c r="C122" s="140"/>
      <c r="D122" s="137"/>
      <c r="F122" s="139">
        <v>14</v>
      </c>
      <c r="G122" s="140" t="s">
        <v>363</v>
      </c>
      <c r="H122" s="148">
        <v>0.22500000000000001</v>
      </c>
      <c r="J122" s="139">
        <v>14</v>
      </c>
      <c r="K122" s="149" t="s">
        <v>334</v>
      </c>
      <c r="L122" s="137">
        <v>0.5</v>
      </c>
      <c r="N122" s="139">
        <v>14</v>
      </c>
      <c r="O122" s="140" t="s">
        <v>363</v>
      </c>
      <c r="P122" s="137">
        <v>0.22500000000000001</v>
      </c>
    </row>
    <row r="123" spans="2:16" x14ac:dyDescent="0.35">
      <c r="B123" s="146"/>
      <c r="C123" s="140"/>
      <c r="D123" s="137"/>
      <c r="F123" s="139">
        <v>15</v>
      </c>
      <c r="G123" s="140" t="s">
        <v>367</v>
      </c>
      <c r="H123" s="148">
        <v>0.375</v>
      </c>
      <c r="J123" s="139">
        <v>15</v>
      </c>
      <c r="K123" s="149" t="s">
        <v>1499</v>
      </c>
      <c r="L123" s="137">
        <v>0.05</v>
      </c>
      <c r="N123" s="139">
        <v>15</v>
      </c>
      <c r="O123" s="140" t="s">
        <v>367</v>
      </c>
      <c r="P123" s="137">
        <v>0.375</v>
      </c>
    </row>
    <row r="124" spans="2:16" x14ac:dyDescent="0.35">
      <c r="B124" s="146"/>
      <c r="C124" s="140"/>
      <c r="D124" s="137"/>
      <c r="F124" s="139">
        <v>16</v>
      </c>
      <c r="G124" s="140" t="s">
        <v>355</v>
      </c>
      <c r="H124" s="148">
        <v>0.15</v>
      </c>
      <c r="J124" s="139">
        <v>16</v>
      </c>
      <c r="K124" s="149" t="s">
        <v>342</v>
      </c>
      <c r="L124" s="137">
        <v>7.4999999999999997E-2</v>
      </c>
      <c r="N124" s="139">
        <v>16</v>
      </c>
      <c r="O124" s="140" t="s">
        <v>355</v>
      </c>
      <c r="P124" s="137">
        <v>0.15</v>
      </c>
    </row>
    <row r="125" spans="2:16" x14ac:dyDescent="0.35">
      <c r="B125" s="146"/>
      <c r="C125" s="140"/>
      <c r="D125" s="137"/>
      <c r="F125" s="139">
        <v>17</v>
      </c>
      <c r="G125" s="140" t="s">
        <v>346</v>
      </c>
      <c r="H125" s="148">
        <v>0.28000000000000003</v>
      </c>
      <c r="J125" s="139">
        <v>17</v>
      </c>
      <c r="K125" s="149" t="s">
        <v>2352</v>
      </c>
      <c r="L125" s="137">
        <v>0.1</v>
      </c>
      <c r="N125" s="139">
        <v>17</v>
      </c>
      <c r="O125" s="140" t="s">
        <v>346</v>
      </c>
      <c r="P125" s="137">
        <v>0.28000000000000003</v>
      </c>
    </row>
    <row r="126" spans="2:16" x14ac:dyDescent="0.35">
      <c r="B126" s="146"/>
      <c r="C126" s="140"/>
      <c r="D126" s="137"/>
      <c r="F126" s="139">
        <v>18</v>
      </c>
      <c r="G126" s="140" t="s">
        <v>365</v>
      </c>
      <c r="H126" s="148">
        <v>0.27500000000000002</v>
      </c>
      <c r="J126" s="139">
        <v>18</v>
      </c>
      <c r="K126" s="149" t="s">
        <v>2353</v>
      </c>
      <c r="L126" s="137">
        <v>2.5000000000000001E-2</v>
      </c>
      <c r="N126" s="139">
        <v>18</v>
      </c>
      <c r="O126" s="140" t="s">
        <v>365</v>
      </c>
      <c r="P126" s="137">
        <v>0.27500000000000002</v>
      </c>
    </row>
    <row r="127" spans="2:16" x14ac:dyDescent="0.35">
      <c r="B127" s="146"/>
      <c r="C127" s="140"/>
      <c r="D127" s="137"/>
      <c r="F127" s="139">
        <v>19</v>
      </c>
      <c r="G127" s="140" t="s">
        <v>565</v>
      </c>
      <c r="H127" s="148">
        <v>0.6</v>
      </c>
      <c r="J127" s="139">
        <v>19</v>
      </c>
      <c r="K127" s="149" t="s">
        <v>344</v>
      </c>
      <c r="L127" s="137">
        <v>0.17499999999999999</v>
      </c>
      <c r="N127" s="139">
        <v>19</v>
      </c>
      <c r="O127" s="140" t="s">
        <v>565</v>
      </c>
      <c r="P127" s="137">
        <v>0.6</v>
      </c>
    </row>
    <row r="128" spans="2:16" x14ac:dyDescent="0.35">
      <c r="B128" s="146"/>
      <c r="C128" s="140"/>
      <c r="D128" s="137"/>
      <c r="F128" s="139">
        <v>20</v>
      </c>
      <c r="G128" s="140" t="s">
        <v>377</v>
      </c>
      <c r="H128" s="148">
        <v>0.15</v>
      </c>
      <c r="J128" s="139">
        <v>20</v>
      </c>
      <c r="K128" s="149" t="s">
        <v>1500</v>
      </c>
      <c r="L128" s="137">
        <v>0.45</v>
      </c>
      <c r="N128" s="139">
        <v>20</v>
      </c>
      <c r="O128" s="140" t="s">
        <v>377</v>
      </c>
      <c r="P128" s="137">
        <v>0.15</v>
      </c>
    </row>
    <row r="129" spans="2:16" x14ac:dyDescent="0.35">
      <c r="B129" s="146"/>
      <c r="C129" s="140"/>
      <c r="D129" s="137"/>
      <c r="F129" s="139">
        <v>21</v>
      </c>
      <c r="G129" s="140" t="s">
        <v>375</v>
      </c>
      <c r="H129" s="148">
        <v>0.2</v>
      </c>
      <c r="J129" s="139">
        <v>21</v>
      </c>
      <c r="K129" s="149" t="s">
        <v>363</v>
      </c>
      <c r="L129" s="137">
        <v>0.22500000000000001</v>
      </c>
      <c r="N129" s="139">
        <v>21</v>
      </c>
      <c r="O129" s="140" t="s">
        <v>375</v>
      </c>
      <c r="P129" s="137">
        <v>0.2</v>
      </c>
    </row>
    <row r="130" spans="2:16" x14ac:dyDescent="0.35">
      <c r="B130" s="146"/>
      <c r="C130" s="140"/>
      <c r="D130" s="137"/>
      <c r="F130" s="139">
        <v>22</v>
      </c>
      <c r="G130" s="140" t="s">
        <v>2356</v>
      </c>
      <c r="H130" s="148">
        <v>0.27500000000000002</v>
      </c>
      <c r="J130" s="139">
        <v>22</v>
      </c>
      <c r="K130" s="149" t="s">
        <v>367</v>
      </c>
      <c r="L130" s="137">
        <v>0.375</v>
      </c>
      <c r="N130" s="139">
        <v>22</v>
      </c>
      <c r="O130" s="140" t="s">
        <v>2356</v>
      </c>
      <c r="P130" s="137">
        <v>0.27500000000000002</v>
      </c>
    </row>
    <row r="131" spans="2:16" x14ac:dyDescent="0.35">
      <c r="B131" s="146"/>
      <c r="C131" s="140"/>
      <c r="D131" s="137"/>
      <c r="F131" s="139">
        <v>23</v>
      </c>
      <c r="G131" s="140" t="s">
        <v>567</v>
      </c>
      <c r="H131" s="148">
        <v>0.25</v>
      </c>
      <c r="J131" s="139">
        <v>23</v>
      </c>
      <c r="K131" s="149" t="s">
        <v>355</v>
      </c>
      <c r="L131" s="137">
        <v>0.15</v>
      </c>
      <c r="N131" s="139">
        <v>23</v>
      </c>
      <c r="O131" s="140" t="s">
        <v>567</v>
      </c>
      <c r="P131" s="137">
        <v>0.25</v>
      </c>
    </row>
    <row r="132" spans="2:16" x14ac:dyDescent="0.35">
      <c r="B132" s="146"/>
      <c r="C132" s="140"/>
      <c r="D132" s="137"/>
      <c r="F132" s="139">
        <v>24</v>
      </c>
      <c r="G132" s="140" t="s">
        <v>387</v>
      </c>
      <c r="H132" s="148">
        <v>0.32500000000000001</v>
      </c>
      <c r="J132" s="139">
        <v>24</v>
      </c>
      <c r="K132" s="149" t="s">
        <v>346</v>
      </c>
      <c r="L132" s="137">
        <v>0.28000000000000003</v>
      </c>
      <c r="N132" s="139">
        <v>24</v>
      </c>
      <c r="O132" s="140" t="s">
        <v>387</v>
      </c>
      <c r="P132" s="137">
        <v>0.32500000000000001</v>
      </c>
    </row>
    <row r="133" spans="2:16" x14ac:dyDescent="0.35">
      <c r="B133" s="146"/>
      <c r="C133" s="140"/>
      <c r="D133" s="137"/>
      <c r="F133" s="139">
        <v>25</v>
      </c>
      <c r="G133" s="140" t="s">
        <v>385</v>
      </c>
      <c r="H133" s="148">
        <v>0.3</v>
      </c>
      <c r="J133" s="139">
        <v>25</v>
      </c>
      <c r="K133" s="149" t="s">
        <v>365</v>
      </c>
      <c r="L133" s="137">
        <v>0.27500000000000002</v>
      </c>
      <c r="N133" s="139">
        <v>25</v>
      </c>
      <c r="O133" s="140" t="s">
        <v>385</v>
      </c>
      <c r="P133" s="137">
        <v>0.3</v>
      </c>
    </row>
    <row r="134" spans="2:16" x14ac:dyDescent="0.35">
      <c r="B134" s="146"/>
      <c r="C134" s="140"/>
      <c r="D134" s="137"/>
      <c r="F134" s="139">
        <v>26</v>
      </c>
      <c r="G134" s="140" t="s">
        <v>422</v>
      </c>
      <c r="H134" s="148">
        <v>0.35</v>
      </c>
      <c r="J134" s="139">
        <v>26</v>
      </c>
      <c r="K134" s="149" t="s">
        <v>565</v>
      </c>
      <c r="L134" s="137">
        <v>0.6</v>
      </c>
      <c r="N134" s="139">
        <v>26</v>
      </c>
      <c r="O134" s="140" t="s">
        <v>422</v>
      </c>
      <c r="P134" s="137">
        <v>0.35</v>
      </c>
    </row>
    <row r="135" spans="2:16" x14ac:dyDescent="0.35">
      <c r="B135" s="146"/>
      <c r="C135" s="140"/>
      <c r="D135" s="137"/>
      <c r="F135" s="139">
        <v>27</v>
      </c>
      <c r="G135" s="140" t="s">
        <v>389</v>
      </c>
      <c r="H135" s="148">
        <v>0.8</v>
      </c>
      <c r="J135" s="139">
        <v>27</v>
      </c>
      <c r="K135" s="149" t="s">
        <v>377</v>
      </c>
      <c r="L135" s="137">
        <v>0.15</v>
      </c>
      <c r="N135" s="139">
        <v>27</v>
      </c>
      <c r="O135" s="140" t="s">
        <v>389</v>
      </c>
      <c r="P135" s="137">
        <v>0.8</v>
      </c>
    </row>
    <row r="136" spans="2:16" x14ac:dyDescent="0.35">
      <c r="B136" s="146"/>
      <c r="C136" s="140"/>
      <c r="D136" s="137"/>
      <c r="F136" s="139">
        <v>28</v>
      </c>
      <c r="G136" s="140" t="s">
        <v>391</v>
      </c>
      <c r="H136" s="148">
        <v>0.7</v>
      </c>
      <c r="J136" s="139">
        <v>28</v>
      </c>
      <c r="K136" s="149" t="s">
        <v>375</v>
      </c>
      <c r="L136" s="137">
        <v>0.2</v>
      </c>
      <c r="N136" s="139">
        <v>28</v>
      </c>
      <c r="O136" s="140" t="s">
        <v>391</v>
      </c>
      <c r="P136" s="137">
        <v>0.7</v>
      </c>
    </row>
    <row r="137" spans="2:16" x14ac:dyDescent="0.35">
      <c r="B137" s="146"/>
      <c r="C137" s="140"/>
      <c r="D137" s="137"/>
      <c r="F137" s="139">
        <v>29</v>
      </c>
      <c r="G137" s="140" t="s">
        <v>2357</v>
      </c>
      <c r="H137" s="148">
        <v>0.47499999999999998</v>
      </c>
      <c r="J137" s="139">
        <v>29</v>
      </c>
      <c r="K137" s="149" t="s">
        <v>2356</v>
      </c>
      <c r="L137" s="137">
        <v>0.27500000000000002</v>
      </c>
      <c r="N137" s="139">
        <v>29</v>
      </c>
      <c r="O137" s="140" t="s">
        <v>2357</v>
      </c>
      <c r="P137" s="137">
        <v>0.47499999999999998</v>
      </c>
    </row>
    <row r="138" spans="2:16" x14ac:dyDescent="0.35">
      <c r="B138" s="146"/>
      <c r="C138" s="140"/>
      <c r="D138" s="137"/>
      <c r="F138" s="139"/>
      <c r="G138" s="140"/>
      <c r="H138" s="148"/>
      <c r="J138" s="139">
        <v>30</v>
      </c>
      <c r="K138" s="149" t="s">
        <v>567</v>
      </c>
      <c r="L138" s="137">
        <v>0.25</v>
      </c>
      <c r="N138" s="139"/>
      <c r="O138" s="140"/>
      <c r="P138" s="137"/>
    </row>
    <row r="139" spans="2:16" x14ac:dyDescent="0.35">
      <c r="B139" s="146"/>
      <c r="C139" s="140"/>
      <c r="D139" s="137"/>
      <c r="F139" s="139"/>
      <c r="G139" s="140"/>
      <c r="H139" s="148"/>
      <c r="J139" s="139">
        <v>31</v>
      </c>
      <c r="K139" s="149" t="s">
        <v>387</v>
      </c>
      <c r="L139" s="137">
        <v>0.32500000000000001</v>
      </c>
      <c r="N139" s="139"/>
      <c r="O139" s="140"/>
      <c r="P139" s="137"/>
    </row>
    <row r="140" spans="2:16" x14ac:dyDescent="0.35">
      <c r="B140" s="146"/>
      <c r="C140" s="140"/>
      <c r="D140" s="137"/>
      <c r="F140" s="139"/>
      <c r="G140" s="140"/>
      <c r="H140" s="148"/>
      <c r="J140" s="139">
        <v>32</v>
      </c>
      <c r="K140" s="149" t="s">
        <v>385</v>
      </c>
      <c r="L140" s="137">
        <v>0.3</v>
      </c>
      <c r="N140" s="139"/>
      <c r="O140" s="140"/>
      <c r="P140" s="137"/>
    </row>
    <row r="141" spans="2:16" x14ac:dyDescent="0.35">
      <c r="B141" s="146"/>
      <c r="C141" s="140"/>
      <c r="D141" s="137"/>
      <c r="F141" s="139"/>
      <c r="G141" s="140"/>
      <c r="H141" s="148"/>
      <c r="J141" s="139">
        <v>33</v>
      </c>
      <c r="K141" s="149" t="s">
        <v>422</v>
      </c>
      <c r="L141" s="137">
        <v>0.35</v>
      </c>
      <c r="N141" s="139"/>
      <c r="O141" s="140"/>
      <c r="P141" s="137"/>
    </row>
    <row r="142" spans="2:16" x14ac:dyDescent="0.35">
      <c r="B142" s="146"/>
      <c r="C142" s="140"/>
      <c r="D142" s="137"/>
      <c r="F142" s="139"/>
      <c r="G142" s="140"/>
      <c r="H142" s="148"/>
      <c r="J142" s="139">
        <v>34</v>
      </c>
      <c r="K142" s="149" t="s">
        <v>389</v>
      </c>
      <c r="L142" s="137">
        <v>0.8</v>
      </c>
      <c r="N142" s="139"/>
      <c r="O142" s="140"/>
      <c r="P142" s="137"/>
    </row>
    <row r="143" spans="2:16" x14ac:dyDescent="0.35">
      <c r="B143" s="146"/>
      <c r="C143" s="140"/>
      <c r="D143" s="137"/>
      <c r="F143" s="139"/>
      <c r="G143" s="140"/>
      <c r="H143" s="148"/>
      <c r="J143" s="139">
        <v>35</v>
      </c>
      <c r="K143" s="149" t="s">
        <v>391</v>
      </c>
      <c r="L143" s="137">
        <v>0.7</v>
      </c>
      <c r="N143" s="139"/>
      <c r="O143" s="140"/>
      <c r="P143" s="137"/>
    </row>
    <row r="144" spans="2:16" x14ac:dyDescent="0.35">
      <c r="B144" s="146"/>
      <c r="C144" s="140"/>
      <c r="D144" s="137"/>
      <c r="F144" s="139"/>
      <c r="G144" s="140"/>
      <c r="H144" s="148"/>
      <c r="J144" s="139">
        <v>36</v>
      </c>
      <c r="K144" s="149" t="s">
        <v>2357</v>
      </c>
      <c r="L144" s="137">
        <v>0.47499999999999998</v>
      </c>
      <c r="N144" s="139"/>
      <c r="O144" s="140"/>
      <c r="P144" s="137"/>
    </row>
    <row r="145" spans="2:18" x14ac:dyDescent="0.35">
      <c r="B145" s="146"/>
      <c r="C145" s="140"/>
      <c r="D145" s="137"/>
      <c r="F145" s="139"/>
      <c r="G145" s="140"/>
      <c r="H145" s="148"/>
      <c r="J145" s="139"/>
      <c r="K145" s="149"/>
      <c r="L145" s="137"/>
      <c r="N145" s="139"/>
      <c r="O145" s="140"/>
      <c r="P145" s="137"/>
    </row>
    <row r="146" spans="2:18" x14ac:dyDescent="0.35">
      <c r="B146" s="146"/>
      <c r="C146" s="140"/>
      <c r="D146" s="137"/>
      <c r="F146" s="139"/>
      <c r="G146" s="140"/>
      <c r="H146" s="148"/>
      <c r="J146" s="139"/>
      <c r="K146" s="149"/>
      <c r="L146" s="137"/>
      <c r="N146" s="139"/>
      <c r="O146" s="140"/>
      <c r="P146" s="137"/>
    </row>
    <row r="147" spans="2:18" x14ac:dyDescent="0.35">
      <c r="B147" s="146"/>
      <c r="C147" s="140"/>
      <c r="D147" s="137"/>
      <c r="F147" s="139"/>
      <c r="G147" s="140"/>
      <c r="H147" s="148"/>
      <c r="J147" s="139"/>
      <c r="K147" s="149"/>
      <c r="L147" s="137"/>
      <c r="N147" s="139"/>
      <c r="O147" s="140"/>
      <c r="P147" s="137"/>
    </row>
    <row r="148" spans="2:18" s="1" customFormat="1" x14ac:dyDescent="0.35">
      <c r="B148" s="3"/>
      <c r="C148"/>
      <c r="D148"/>
      <c r="E148" s="3"/>
      <c r="F148"/>
      <c r="G148"/>
      <c r="H148" s="3"/>
      <c r="I148"/>
      <c r="J148"/>
      <c r="K148" s="3"/>
      <c r="L148"/>
      <c r="M148"/>
      <c r="N148"/>
      <c r="O148"/>
      <c r="P148"/>
      <c r="R148" s="151"/>
    </row>
    <row r="151" spans="2:18" ht="15.5" x14ac:dyDescent="0.35">
      <c r="B151" s="410" t="s">
        <v>2384</v>
      </c>
      <c r="C151" s="412"/>
      <c r="D151" s="412"/>
      <c r="E151" s="412"/>
      <c r="F151" s="412"/>
      <c r="G151" s="412"/>
      <c r="H151" s="412"/>
      <c r="I151" s="412"/>
      <c r="J151" s="412"/>
      <c r="K151" s="412"/>
      <c r="L151" s="412"/>
      <c r="M151" s="412"/>
      <c r="N151" s="412"/>
      <c r="O151" s="412"/>
      <c r="P151" s="411"/>
    </row>
    <row r="152" spans="2:18" ht="15.5" x14ac:dyDescent="0.35">
      <c r="B152" s="412" t="s">
        <v>1467</v>
      </c>
      <c r="C152" s="412"/>
      <c r="D152" s="412"/>
      <c r="F152" s="412" t="s">
        <v>1468</v>
      </c>
      <c r="G152" s="412"/>
      <c r="H152" s="412"/>
      <c r="J152" s="412" t="s">
        <v>1469</v>
      </c>
      <c r="K152" s="412"/>
      <c r="L152" s="412"/>
      <c r="N152" s="412" t="s">
        <v>1470</v>
      </c>
      <c r="O152" s="412"/>
      <c r="P152" s="412"/>
    </row>
    <row r="153" spans="2:18" x14ac:dyDescent="0.35">
      <c r="B153" s="135" t="s">
        <v>1498</v>
      </c>
      <c r="C153" s="135" t="s">
        <v>1471</v>
      </c>
      <c r="D153" s="135" t="s">
        <v>1472</v>
      </c>
      <c r="E153" s="1"/>
      <c r="F153" s="135" t="s">
        <v>1498</v>
      </c>
      <c r="G153" s="135" t="s">
        <v>1471</v>
      </c>
      <c r="H153" s="135" t="s">
        <v>1472</v>
      </c>
      <c r="I153" s="1"/>
      <c r="J153" s="135" t="s">
        <v>1498</v>
      </c>
      <c r="K153" s="135" t="s">
        <v>1471</v>
      </c>
      <c r="L153" s="135" t="s">
        <v>1472</v>
      </c>
      <c r="M153" s="1"/>
      <c r="N153" s="135" t="s">
        <v>1498</v>
      </c>
      <c r="O153" s="135" t="s">
        <v>1471</v>
      </c>
      <c r="P153" s="135" t="s">
        <v>1472</v>
      </c>
    </row>
    <row r="154" spans="2:18" x14ac:dyDescent="0.35">
      <c r="B154" s="146"/>
      <c r="C154" s="140"/>
      <c r="D154" s="137"/>
      <c r="F154" s="139"/>
      <c r="G154" s="140"/>
      <c r="H154" s="148"/>
      <c r="J154" s="139"/>
      <c r="K154" s="149"/>
      <c r="L154" s="137"/>
      <c r="N154" s="139"/>
      <c r="O154" s="140"/>
      <c r="P154" s="137"/>
    </row>
    <row r="155" spans="2:18" x14ac:dyDescent="0.35">
      <c r="B155" s="146">
        <v>1</v>
      </c>
      <c r="C155" s="140" t="s">
        <v>407</v>
      </c>
      <c r="D155" s="233">
        <v>6.25E-2</v>
      </c>
      <c r="F155" s="139">
        <v>1</v>
      </c>
      <c r="G155" s="140" t="s">
        <v>315</v>
      </c>
      <c r="H155" s="170">
        <v>6.2E-2</v>
      </c>
      <c r="J155" s="139">
        <v>1</v>
      </c>
      <c r="K155" s="149" t="s">
        <v>407</v>
      </c>
      <c r="L155" s="137">
        <v>6.25E-2</v>
      </c>
      <c r="M155" s="203"/>
      <c r="N155" s="139">
        <v>1</v>
      </c>
      <c r="O155" s="140" t="s">
        <v>315</v>
      </c>
      <c r="P155" s="137">
        <v>6.2E-2</v>
      </c>
    </row>
    <row r="156" spans="2:18" x14ac:dyDescent="0.35">
      <c r="B156" s="146">
        <v>2</v>
      </c>
      <c r="C156" s="140" t="s">
        <v>413</v>
      </c>
      <c r="D156" s="233">
        <v>0.1</v>
      </c>
      <c r="F156" s="139">
        <v>2</v>
      </c>
      <c r="G156" s="140" t="s">
        <v>321</v>
      </c>
      <c r="H156" s="170">
        <v>0.1</v>
      </c>
      <c r="J156" s="139">
        <v>2</v>
      </c>
      <c r="K156" s="149" t="s">
        <v>413</v>
      </c>
      <c r="L156" s="137">
        <v>0.1</v>
      </c>
      <c r="M156" s="203"/>
      <c r="N156" s="139">
        <v>2</v>
      </c>
      <c r="O156" s="140" t="s">
        <v>321</v>
      </c>
      <c r="P156" s="137">
        <v>0.1</v>
      </c>
    </row>
    <row r="157" spans="2:18" x14ac:dyDescent="0.35">
      <c r="B157" s="146">
        <v>3</v>
      </c>
      <c r="C157" s="140" t="s">
        <v>421</v>
      </c>
      <c r="D157" s="233">
        <v>2.5000000000000001E-2</v>
      </c>
      <c r="F157" s="139">
        <v>3</v>
      </c>
      <c r="G157" s="140" t="s">
        <v>325</v>
      </c>
      <c r="H157" s="170">
        <v>0.2</v>
      </c>
      <c r="J157" s="139">
        <v>3</v>
      </c>
      <c r="K157" s="149" t="s">
        <v>421</v>
      </c>
      <c r="L157" s="137">
        <v>2.5000000000000001E-2</v>
      </c>
      <c r="M157" s="203"/>
      <c r="N157" s="139">
        <v>3</v>
      </c>
      <c r="O157" s="140" t="s">
        <v>325</v>
      </c>
      <c r="P157" s="137">
        <v>0.2</v>
      </c>
    </row>
    <row r="158" spans="2:18" x14ac:dyDescent="0.35">
      <c r="B158" s="146">
        <v>4</v>
      </c>
      <c r="C158" s="140" t="s">
        <v>337</v>
      </c>
      <c r="D158" s="233">
        <v>0.05</v>
      </c>
      <c r="F158" s="139">
        <v>4</v>
      </c>
      <c r="G158" s="140" t="s">
        <v>327</v>
      </c>
      <c r="H158" s="170">
        <v>7.4999999999999997E-2</v>
      </c>
      <c r="J158" s="139">
        <v>4</v>
      </c>
      <c r="K158" s="149" t="s">
        <v>337</v>
      </c>
      <c r="L158" s="137">
        <v>0.05</v>
      </c>
      <c r="M158" s="203"/>
      <c r="N158" s="139">
        <v>4</v>
      </c>
      <c r="O158" s="140" t="s">
        <v>327</v>
      </c>
      <c r="P158" s="137">
        <v>7.4999999999999997E-2</v>
      </c>
    </row>
    <row r="159" spans="2:18" x14ac:dyDescent="0.35">
      <c r="B159" s="146">
        <v>5</v>
      </c>
      <c r="C159" s="140" t="s">
        <v>417</v>
      </c>
      <c r="D159" s="233">
        <v>0.125</v>
      </c>
      <c r="F159" s="139">
        <v>5</v>
      </c>
      <c r="G159" s="140" t="s">
        <v>331</v>
      </c>
      <c r="H159" s="170">
        <v>0.16200000000000001</v>
      </c>
      <c r="J159" s="139">
        <v>5</v>
      </c>
      <c r="K159" s="149" t="s">
        <v>417</v>
      </c>
      <c r="L159" s="137">
        <v>0.125</v>
      </c>
      <c r="M159" s="203"/>
      <c r="N159" s="139">
        <v>5</v>
      </c>
      <c r="O159" s="140" t="s">
        <v>331</v>
      </c>
      <c r="P159" s="137">
        <v>0.16200000000000001</v>
      </c>
    </row>
    <row r="160" spans="2:18" x14ac:dyDescent="0.35">
      <c r="B160" s="146">
        <v>6</v>
      </c>
      <c r="C160" s="140" t="s">
        <v>425</v>
      </c>
      <c r="D160" s="233">
        <v>8.6999999999999994E-2</v>
      </c>
      <c r="F160" s="139">
        <v>6</v>
      </c>
      <c r="G160" s="140" t="s">
        <v>333</v>
      </c>
      <c r="H160" s="170">
        <v>0.21199999999999999</v>
      </c>
      <c r="J160" s="139">
        <v>6</v>
      </c>
      <c r="K160" s="149" t="s">
        <v>425</v>
      </c>
      <c r="L160" s="137">
        <v>8.6999999999999994E-2</v>
      </c>
      <c r="M160" s="203"/>
      <c r="N160" s="139">
        <v>6</v>
      </c>
      <c r="O160" s="140" t="s">
        <v>333</v>
      </c>
      <c r="P160" s="137">
        <v>0.21199999999999999</v>
      </c>
    </row>
    <row r="161" spans="2:16" x14ac:dyDescent="0.35">
      <c r="B161" s="146">
        <v>7</v>
      </c>
      <c r="C161" s="140" t="s">
        <v>427</v>
      </c>
      <c r="D161" s="233">
        <v>0.15</v>
      </c>
      <c r="F161" s="139">
        <v>7</v>
      </c>
      <c r="G161" s="140" t="s">
        <v>335</v>
      </c>
      <c r="H161" s="170">
        <v>0.25</v>
      </c>
      <c r="J161" s="139">
        <v>7</v>
      </c>
      <c r="K161" s="149" t="s">
        <v>427</v>
      </c>
      <c r="L161" s="137">
        <v>0.15</v>
      </c>
      <c r="M161" s="203"/>
      <c r="N161" s="139">
        <v>7</v>
      </c>
      <c r="O161" s="140" t="s">
        <v>335</v>
      </c>
      <c r="P161" s="137">
        <v>0.25</v>
      </c>
    </row>
    <row r="162" spans="2:16" x14ac:dyDescent="0.35">
      <c r="B162" s="146"/>
      <c r="C162" s="140"/>
      <c r="D162" s="233"/>
      <c r="F162" s="139">
        <v>8</v>
      </c>
      <c r="G162" s="140" t="s">
        <v>1501</v>
      </c>
      <c r="H162" s="170">
        <v>2.5000000000000001E-2</v>
      </c>
      <c r="J162" s="139">
        <v>8</v>
      </c>
      <c r="K162" s="149" t="s">
        <v>315</v>
      </c>
      <c r="L162" s="137">
        <v>6.2E-2</v>
      </c>
      <c r="M162" s="203"/>
      <c r="N162" s="139">
        <v>8</v>
      </c>
      <c r="O162" s="140" t="s">
        <v>1501</v>
      </c>
      <c r="P162" s="137">
        <v>2.5000000000000001E-2</v>
      </c>
    </row>
    <row r="163" spans="2:16" x14ac:dyDescent="0.35">
      <c r="B163" s="146"/>
      <c r="C163" s="140"/>
      <c r="D163" s="233"/>
      <c r="F163" s="139">
        <v>9</v>
      </c>
      <c r="G163" s="140" t="s">
        <v>343</v>
      </c>
      <c r="H163" s="170">
        <v>3.6999999999999998E-2</v>
      </c>
      <c r="J163" s="139">
        <v>9</v>
      </c>
      <c r="K163" s="149" t="s">
        <v>321</v>
      </c>
      <c r="L163" s="137">
        <v>0.1</v>
      </c>
      <c r="M163" s="203"/>
      <c r="N163" s="139">
        <v>9</v>
      </c>
      <c r="O163" s="140" t="s">
        <v>343</v>
      </c>
      <c r="P163" s="137">
        <v>3.6999999999999998E-2</v>
      </c>
    </row>
    <row r="164" spans="2:16" x14ac:dyDescent="0.35">
      <c r="B164" s="146"/>
      <c r="C164" s="140"/>
      <c r="D164" s="233"/>
      <c r="F164" s="139">
        <v>10</v>
      </c>
      <c r="G164" s="140" t="s">
        <v>2354</v>
      </c>
      <c r="H164" s="170">
        <v>0.05</v>
      </c>
      <c r="J164" s="139">
        <v>10</v>
      </c>
      <c r="K164" s="149" t="s">
        <v>325</v>
      </c>
      <c r="L164" s="137">
        <v>0.2</v>
      </c>
      <c r="M164" s="203"/>
      <c r="N164" s="139">
        <v>10</v>
      </c>
      <c r="O164" s="140" t="s">
        <v>2354</v>
      </c>
      <c r="P164" s="137">
        <v>0.05</v>
      </c>
    </row>
    <row r="165" spans="2:16" x14ac:dyDescent="0.35">
      <c r="B165" s="146"/>
      <c r="C165" s="140"/>
      <c r="D165" s="233"/>
      <c r="F165" s="139">
        <v>11</v>
      </c>
      <c r="G165" s="140" t="s">
        <v>2355</v>
      </c>
      <c r="H165" s="170">
        <v>1.2E-2</v>
      </c>
      <c r="J165" s="139">
        <v>11</v>
      </c>
      <c r="K165" s="149" t="s">
        <v>327</v>
      </c>
      <c r="L165" s="137">
        <v>7.4999999999999997E-2</v>
      </c>
      <c r="M165" s="203"/>
      <c r="N165" s="139">
        <v>11</v>
      </c>
      <c r="O165" s="140" t="s">
        <v>2355</v>
      </c>
      <c r="P165" s="137">
        <v>1.2E-2</v>
      </c>
    </row>
    <row r="166" spans="2:16" x14ac:dyDescent="0.35">
      <c r="B166" s="146"/>
      <c r="C166" s="140"/>
      <c r="D166" s="233"/>
      <c r="F166" s="139">
        <v>12</v>
      </c>
      <c r="G166" s="140" t="s">
        <v>345</v>
      </c>
      <c r="H166" s="170">
        <v>8.6999999999999994E-2</v>
      </c>
      <c r="J166" s="139">
        <v>12</v>
      </c>
      <c r="K166" s="149" t="s">
        <v>331</v>
      </c>
      <c r="L166" s="137">
        <v>0.16200000000000001</v>
      </c>
      <c r="M166" s="203"/>
      <c r="N166" s="139">
        <v>12</v>
      </c>
      <c r="O166" s="140" t="s">
        <v>345</v>
      </c>
      <c r="P166" s="137">
        <v>8.6999999999999994E-2</v>
      </c>
    </row>
    <row r="167" spans="2:16" x14ac:dyDescent="0.35">
      <c r="B167" s="146"/>
      <c r="C167" s="140"/>
      <c r="D167" s="233"/>
      <c r="F167" s="139">
        <v>13</v>
      </c>
      <c r="G167" s="140" t="s">
        <v>1502</v>
      </c>
      <c r="H167" s="170">
        <v>0.22500000000000001</v>
      </c>
      <c r="J167" s="139">
        <v>13</v>
      </c>
      <c r="K167" s="149" t="s">
        <v>333</v>
      </c>
      <c r="L167" s="137">
        <v>0.21199999999999999</v>
      </c>
      <c r="M167" s="203"/>
      <c r="N167" s="139">
        <v>13</v>
      </c>
      <c r="O167" s="140" t="s">
        <v>1502</v>
      </c>
      <c r="P167" s="137">
        <v>0.22500000000000001</v>
      </c>
    </row>
    <row r="168" spans="2:16" x14ac:dyDescent="0.35">
      <c r="B168" s="146"/>
      <c r="C168" s="140"/>
      <c r="D168" s="233"/>
      <c r="F168" s="139">
        <v>14</v>
      </c>
      <c r="G168" s="140" t="s">
        <v>364</v>
      </c>
      <c r="H168" s="170">
        <v>0.112</v>
      </c>
      <c r="J168" s="139">
        <v>14</v>
      </c>
      <c r="K168" s="149" t="s">
        <v>335</v>
      </c>
      <c r="L168" s="137">
        <v>0.25</v>
      </c>
      <c r="M168" s="203"/>
      <c r="N168" s="139">
        <v>14</v>
      </c>
      <c r="O168" s="140" t="s">
        <v>364</v>
      </c>
      <c r="P168" s="137">
        <v>0.112</v>
      </c>
    </row>
    <row r="169" spans="2:16" x14ac:dyDescent="0.35">
      <c r="B169" s="146"/>
      <c r="C169" s="140"/>
      <c r="D169" s="233"/>
      <c r="F169" s="139">
        <v>15</v>
      </c>
      <c r="G169" s="140" t="s">
        <v>368</v>
      </c>
      <c r="H169" s="170">
        <v>0.187</v>
      </c>
      <c r="J169" s="139">
        <v>15</v>
      </c>
      <c r="K169" s="149" t="s">
        <v>1501</v>
      </c>
      <c r="L169" s="137">
        <v>2.5000000000000001E-2</v>
      </c>
      <c r="M169" s="203"/>
      <c r="N169" s="139">
        <v>15</v>
      </c>
      <c r="O169" s="140" t="s">
        <v>368</v>
      </c>
      <c r="P169" s="137">
        <v>0.187</v>
      </c>
    </row>
    <row r="170" spans="2:16" x14ac:dyDescent="0.35">
      <c r="B170" s="146"/>
      <c r="C170" s="140"/>
      <c r="D170" s="233"/>
      <c r="F170" s="139">
        <v>16</v>
      </c>
      <c r="G170" s="140" t="s">
        <v>356</v>
      </c>
      <c r="H170" s="170">
        <v>7.4999999999999997E-2</v>
      </c>
      <c r="J170" s="139">
        <v>16</v>
      </c>
      <c r="K170" s="149" t="s">
        <v>343</v>
      </c>
      <c r="L170" s="137">
        <v>3.6999999999999998E-2</v>
      </c>
      <c r="M170" s="203"/>
      <c r="N170" s="139">
        <v>16</v>
      </c>
      <c r="O170" s="140" t="s">
        <v>356</v>
      </c>
      <c r="P170" s="137">
        <v>7.4999999999999997E-2</v>
      </c>
    </row>
    <row r="171" spans="2:16" x14ac:dyDescent="0.35">
      <c r="B171" s="146"/>
      <c r="C171" s="140"/>
      <c r="D171" s="233"/>
      <c r="F171" s="139">
        <v>17</v>
      </c>
      <c r="G171" s="140" t="s">
        <v>570</v>
      </c>
      <c r="H171" s="170">
        <v>0.14000000000000001</v>
      </c>
      <c r="J171" s="139">
        <v>17</v>
      </c>
      <c r="K171" s="149" t="s">
        <v>2354</v>
      </c>
      <c r="L171" s="137">
        <v>0.05</v>
      </c>
      <c r="M171" s="203"/>
      <c r="N171" s="139">
        <v>17</v>
      </c>
      <c r="O171" s="140" t="s">
        <v>570</v>
      </c>
      <c r="P171" s="137">
        <v>0.14000000000000001</v>
      </c>
    </row>
    <row r="172" spans="2:16" x14ac:dyDescent="0.35">
      <c r="B172" s="146"/>
      <c r="C172" s="140"/>
      <c r="D172" s="233"/>
      <c r="F172" s="139">
        <v>18</v>
      </c>
      <c r="G172" s="140" t="s">
        <v>366</v>
      </c>
      <c r="H172" s="170">
        <v>0.13700000000000001</v>
      </c>
      <c r="J172" s="139">
        <v>18</v>
      </c>
      <c r="K172" s="149" t="s">
        <v>2355</v>
      </c>
      <c r="L172" s="137">
        <v>1.2E-2</v>
      </c>
      <c r="M172" s="203"/>
      <c r="N172" s="139">
        <v>18</v>
      </c>
      <c r="O172" s="140" t="s">
        <v>366</v>
      </c>
      <c r="P172" s="137">
        <v>0.13700000000000001</v>
      </c>
    </row>
    <row r="173" spans="2:16" x14ac:dyDescent="0.35">
      <c r="B173" s="146"/>
      <c r="C173" s="140"/>
      <c r="D173" s="233"/>
      <c r="F173" s="139">
        <v>19</v>
      </c>
      <c r="G173" s="140" t="s">
        <v>566</v>
      </c>
      <c r="H173" s="170">
        <v>0.3</v>
      </c>
      <c r="J173" s="139">
        <v>19</v>
      </c>
      <c r="K173" s="149" t="s">
        <v>345</v>
      </c>
      <c r="L173" s="137">
        <v>8.6999999999999994E-2</v>
      </c>
      <c r="M173" s="203"/>
      <c r="N173" s="139">
        <v>19</v>
      </c>
      <c r="O173" s="140" t="s">
        <v>566</v>
      </c>
      <c r="P173" s="137">
        <v>0.3</v>
      </c>
    </row>
    <row r="174" spans="2:16" x14ac:dyDescent="0.35">
      <c r="B174" s="146"/>
      <c r="C174" s="140"/>
      <c r="D174" s="233"/>
      <c r="F174" s="139">
        <v>20</v>
      </c>
      <c r="G174" s="140" t="s">
        <v>378</v>
      </c>
      <c r="H174" s="170">
        <v>7.4999999999999997E-2</v>
      </c>
      <c r="J174" s="139">
        <v>20</v>
      </c>
      <c r="K174" s="149" t="s">
        <v>1502</v>
      </c>
      <c r="L174" s="137">
        <v>0.22500000000000001</v>
      </c>
      <c r="M174" s="203"/>
      <c r="N174" s="139">
        <v>20</v>
      </c>
      <c r="O174" s="140" t="s">
        <v>378</v>
      </c>
      <c r="P174" s="137">
        <v>7.4999999999999997E-2</v>
      </c>
    </row>
    <row r="175" spans="2:16" x14ac:dyDescent="0.35">
      <c r="B175" s="146"/>
      <c r="C175" s="140"/>
      <c r="D175" s="233"/>
      <c r="F175" s="139">
        <v>21</v>
      </c>
      <c r="G175" s="140" t="s">
        <v>376</v>
      </c>
      <c r="H175" s="170">
        <v>0.1</v>
      </c>
      <c r="J175" s="139">
        <v>21</v>
      </c>
      <c r="K175" s="149" t="s">
        <v>364</v>
      </c>
      <c r="L175" s="137">
        <v>0.112</v>
      </c>
      <c r="M175" s="203"/>
      <c r="N175" s="139">
        <v>21</v>
      </c>
      <c r="O175" s="140" t="s">
        <v>376</v>
      </c>
      <c r="P175" s="137">
        <v>0.1</v>
      </c>
    </row>
    <row r="176" spans="2:16" x14ac:dyDescent="0.35">
      <c r="B176" s="146"/>
      <c r="C176" s="140"/>
      <c r="D176" s="233"/>
      <c r="F176" s="139">
        <v>22</v>
      </c>
      <c r="G176" s="140" t="s">
        <v>2358</v>
      </c>
      <c r="H176" s="170">
        <v>0.13700000000000001</v>
      </c>
      <c r="J176" s="139">
        <v>22</v>
      </c>
      <c r="K176" s="149" t="s">
        <v>368</v>
      </c>
      <c r="L176" s="137">
        <v>0.187</v>
      </c>
      <c r="M176" s="203"/>
      <c r="N176" s="139">
        <v>22</v>
      </c>
      <c r="O176" s="140" t="s">
        <v>2358</v>
      </c>
      <c r="P176" s="137">
        <v>0.13700000000000001</v>
      </c>
    </row>
    <row r="177" spans="2:16" x14ac:dyDescent="0.35">
      <c r="B177" s="146"/>
      <c r="C177" s="140"/>
      <c r="D177" s="233"/>
      <c r="F177" s="139">
        <v>23</v>
      </c>
      <c r="G177" s="140" t="s">
        <v>568</v>
      </c>
      <c r="H177" s="170">
        <v>0.125</v>
      </c>
      <c r="J177" s="139">
        <v>23</v>
      </c>
      <c r="K177" s="149" t="s">
        <v>356</v>
      </c>
      <c r="L177" s="137">
        <v>7.4999999999999997E-2</v>
      </c>
      <c r="M177" s="203"/>
      <c r="N177" s="139">
        <v>23</v>
      </c>
      <c r="O177" s="140" t="s">
        <v>568</v>
      </c>
      <c r="P177" s="137">
        <v>0.125</v>
      </c>
    </row>
    <row r="178" spans="2:16" x14ac:dyDescent="0.35">
      <c r="B178" s="146"/>
      <c r="C178" s="140"/>
      <c r="D178" s="233"/>
      <c r="F178" s="139">
        <v>24</v>
      </c>
      <c r="G178" s="140" t="s">
        <v>388</v>
      </c>
      <c r="H178" s="170">
        <v>0.16200000000000001</v>
      </c>
      <c r="J178" s="139">
        <v>24</v>
      </c>
      <c r="K178" s="149" t="s">
        <v>570</v>
      </c>
      <c r="L178" s="137">
        <v>0.14000000000000001</v>
      </c>
      <c r="M178" s="203"/>
      <c r="N178" s="139">
        <v>24</v>
      </c>
      <c r="O178" s="140" t="s">
        <v>388</v>
      </c>
      <c r="P178" s="137">
        <v>0.16200000000000001</v>
      </c>
    </row>
    <row r="179" spans="2:16" x14ac:dyDescent="0.35">
      <c r="B179" s="146"/>
      <c r="C179" s="140"/>
      <c r="D179" s="233"/>
      <c r="F179" s="139">
        <v>25</v>
      </c>
      <c r="G179" s="140" t="s">
        <v>386</v>
      </c>
      <c r="H179" s="148">
        <v>0.17499999999999999</v>
      </c>
      <c r="J179" s="139">
        <v>25</v>
      </c>
      <c r="K179" s="149" t="s">
        <v>366</v>
      </c>
      <c r="L179" s="137">
        <v>0.13700000000000001</v>
      </c>
      <c r="M179" s="203"/>
      <c r="N179" s="139">
        <v>25</v>
      </c>
      <c r="O179" s="140" t="s">
        <v>386</v>
      </c>
      <c r="P179" s="137">
        <v>0.17499999999999999</v>
      </c>
    </row>
    <row r="180" spans="2:16" x14ac:dyDescent="0.35">
      <c r="B180" s="146"/>
      <c r="C180" s="140"/>
      <c r="D180" s="233"/>
      <c r="F180" s="139">
        <v>26</v>
      </c>
      <c r="G180" s="140" t="s">
        <v>423</v>
      </c>
      <c r="H180" s="148">
        <v>0.17499999999999999</v>
      </c>
      <c r="J180" s="139">
        <v>26</v>
      </c>
      <c r="K180" s="149" t="s">
        <v>566</v>
      </c>
      <c r="L180" s="137">
        <v>0.3</v>
      </c>
      <c r="M180" s="203"/>
      <c r="N180" s="139">
        <v>26</v>
      </c>
      <c r="O180" s="140" t="s">
        <v>423</v>
      </c>
      <c r="P180" s="137">
        <v>0.17499999999999999</v>
      </c>
    </row>
    <row r="181" spans="2:16" x14ac:dyDescent="0.35">
      <c r="B181" s="146"/>
      <c r="C181" s="140"/>
      <c r="D181" s="233"/>
      <c r="F181" s="139">
        <v>27</v>
      </c>
      <c r="G181" s="140" t="s">
        <v>390</v>
      </c>
      <c r="H181" s="148">
        <v>0.4</v>
      </c>
      <c r="J181" s="139">
        <v>27</v>
      </c>
      <c r="K181" s="149" t="s">
        <v>378</v>
      </c>
      <c r="L181" s="137">
        <v>7.4999999999999997E-2</v>
      </c>
      <c r="M181" s="203"/>
      <c r="N181" s="139">
        <v>27</v>
      </c>
      <c r="O181" s="140" t="s">
        <v>390</v>
      </c>
      <c r="P181" s="137">
        <v>0.4</v>
      </c>
    </row>
    <row r="182" spans="2:16" x14ac:dyDescent="0.35">
      <c r="B182" s="146"/>
      <c r="C182" s="140"/>
      <c r="D182" s="233"/>
      <c r="F182" s="139">
        <v>28</v>
      </c>
      <c r="G182" s="140" t="s">
        <v>392</v>
      </c>
      <c r="H182" s="148">
        <v>0.35</v>
      </c>
      <c r="J182" s="139">
        <v>28</v>
      </c>
      <c r="K182" s="149" t="s">
        <v>376</v>
      </c>
      <c r="L182" s="137">
        <v>0.1</v>
      </c>
      <c r="M182" s="203"/>
      <c r="N182" s="139">
        <v>28</v>
      </c>
      <c r="O182" s="140" t="s">
        <v>392</v>
      </c>
      <c r="P182" s="137">
        <v>0.35</v>
      </c>
    </row>
    <row r="183" spans="2:16" x14ac:dyDescent="0.35">
      <c r="B183" s="146"/>
      <c r="C183" s="140"/>
      <c r="D183" s="233"/>
      <c r="F183" s="139">
        <v>29</v>
      </c>
      <c r="G183" s="140" t="s">
        <v>2359</v>
      </c>
      <c r="H183" s="148">
        <v>0.23799999999999999</v>
      </c>
      <c r="J183" s="139">
        <v>29</v>
      </c>
      <c r="K183" s="149" t="s">
        <v>2358</v>
      </c>
      <c r="L183" s="137">
        <v>0.13700000000000001</v>
      </c>
      <c r="M183" s="203"/>
      <c r="N183" s="139">
        <v>29</v>
      </c>
      <c r="O183" s="140" t="s">
        <v>2359</v>
      </c>
      <c r="P183" s="137">
        <v>0.23799999999999999</v>
      </c>
    </row>
    <row r="184" spans="2:16" x14ac:dyDescent="0.35">
      <c r="B184" s="146"/>
      <c r="C184" s="140"/>
      <c r="D184" s="233"/>
      <c r="F184" s="139"/>
      <c r="G184" s="140"/>
      <c r="H184" s="148"/>
      <c r="J184" s="139">
        <v>30</v>
      </c>
      <c r="K184" s="149" t="s">
        <v>568</v>
      </c>
      <c r="L184" s="137">
        <v>0.125</v>
      </c>
      <c r="M184" s="203"/>
      <c r="N184" s="139"/>
      <c r="O184" s="140"/>
      <c r="P184" s="137"/>
    </row>
    <row r="185" spans="2:16" x14ac:dyDescent="0.35">
      <c r="B185" s="146"/>
      <c r="C185" s="140"/>
      <c r="D185" s="233"/>
      <c r="F185" s="139"/>
      <c r="G185" s="140"/>
      <c r="H185" s="148"/>
      <c r="J185" s="139">
        <v>31</v>
      </c>
      <c r="K185" s="149" t="s">
        <v>388</v>
      </c>
      <c r="L185" s="137">
        <v>0.16200000000000001</v>
      </c>
      <c r="M185" s="203"/>
      <c r="N185" s="139"/>
      <c r="O185" s="140"/>
      <c r="P185" s="137"/>
    </row>
    <row r="186" spans="2:16" x14ac:dyDescent="0.35">
      <c r="B186" s="146"/>
      <c r="C186" s="140"/>
      <c r="D186" s="233"/>
      <c r="F186" s="139"/>
      <c r="G186" s="140"/>
      <c r="H186" s="148"/>
      <c r="J186" s="139">
        <v>32</v>
      </c>
      <c r="K186" s="149" t="s">
        <v>386</v>
      </c>
      <c r="L186" s="137">
        <v>0.17499999999999999</v>
      </c>
      <c r="N186" s="139"/>
      <c r="O186" s="140"/>
      <c r="P186" s="137"/>
    </row>
    <row r="187" spans="2:16" x14ac:dyDescent="0.35">
      <c r="B187" s="146"/>
      <c r="C187" s="140"/>
      <c r="D187" s="233"/>
      <c r="F187" s="139"/>
      <c r="G187" s="140"/>
      <c r="H187" s="148"/>
      <c r="J187" s="139">
        <v>33</v>
      </c>
      <c r="K187" s="149" t="s">
        <v>423</v>
      </c>
      <c r="L187" s="137">
        <v>0.17499999999999999</v>
      </c>
      <c r="N187" s="139"/>
      <c r="O187" s="140"/>
      <c r="P187" s="137"/>
    </row>
    <row r="188" spans="2:16" x14ac:dyDescent="0.35">
      <c r="B188" s="146"/>
      <c r="C188" s="140"/>
      <c r="D188" s="233"/>
      <c r="F188" s="139"/>
      <c r="G188" s="140"/>
      <c r="H188" s="148"/>
      <c r="J188" s="139">
        <v>34</v>
      </c>
      <c r="K188" s="149" t="s">
        <v>390</v>
      </c>
      <c r="L188" s="137">
        <v>0.4</v>
      </c>
      <c r="N188" s="139"/>
      <c r="O188" s="140"/>
      <c r="P188" s="137"/>
    </row>
    <row r="189" spans="2:16" x14ac:dyDescent="0.35">
      <c r="B189" s="146"/>
      <c r="C189" s="140"/>
      <c r="D189" s="233"/>
      <c r="F189" s="139"/>
      <c r="G189" s="140"/>
      <c r="H189" s="148"/>
      <c r="J189" s="139">
        <v>35</v>
      </c>
      <c r="K189" s="149" t="s">
        <v>392</v>
      </c>
      <c r="L189" s="137">
        <v>0.35</v>
      </c>
      <c r="N189" s="139"/>
      <c r="O189" s="140"/>
      <c r="P189" s="137"/>
    </row>
    <row r="190" spans="2:16" x14ac:dyDescent="0.35">
      <c r="B190" s="146"/>
      <c r="C190" s="140"/>
      <c r="D190" s="233"/>
      <c r="F190" s="139"/>
      <c r="G190" s="140"/>
      <c r="H190" s="148"/>
      <c r="J190" s="139">
        <v>36</v>
      </c>
      <c r="K190" s="149" t="s">
        <v>2359</v>
      </c>
      <c r="L190" s="137">
        <v>0.23799999999999999</v>
      </c>
      <c r="N190" s="139"/>
      <c r="O190" s="140"/>
      <c r="P190" s="137"/>
    </row>
    <row r="191" spans="2:16" x14ac:dyDescent="0.35">
      <c r="B191" s="146"/>
      <c r="C191" s="140"/>
      <c r="D191" s="233"/>
      <c r="F191" s="139"/>
      <c r="G191" s="140"/>
      <c r="H191" s="148"/>
      <c r="J191" s="139"/>
      <c r="K191" s="149"/>
      <c r="L191" s="137"/>
      <c r="N191" s="139"/>
      <c r="O191" s="140"/>
      <c r="P191" s="137"/>
    </row>
    <row r="192" spans="2:16" x14ac:dyDescent="0.35">
      <c r="B192" s="146"/>
      <c r="C192" s="140"/>
      <c r="D192" s="233"/>
      <c r="F192" s="139"/>
      <c r="G192" s="140"/>
      <c r="H192" s="148"/>
      <c r="J192" s="139"/>
      <c r="K192" s="149"/>
      <c r="L192" s="137"/>
      <c r="N192" s="139"/>
      <c r="O192" s="140"/>
      <c r="P192" s="137"/>
    </row>
    <row r="193" spans="2:18" x14ac:dyDescent="0.35">
      <c r="B193" s="146"/>
      <c r="C193" s="140"/>
      <c r="D193" s="233"/>
      <c r="F193" s="139"/>
      <c r="G193" s="140"/>
      <c r="H193" s="148"/>
      <c r="J193" s="139"/>
      <c r="K193" s="149"/>
      <c r="L193" s="137"/>
      <c r="N193" s="139"/>
      <c r="O193" s="140"/>
      <c r="P193" s="137"/>
    </row>
    <row r="195" spans="2:18" s="1" customFormat="1" x14ac:dyDescent="0.35">
      <c r="B195" s="3"/>
      <c r="C195"/>
      <c r="D195"/>
      <c r="E195" s="3"/>
      <c r="F195"/>
      <c r="G195"/>
      <c r="H195" s="3"/>
      <c r="I195"/>
      <c r="J195"/>
      <c r="K195" s="3"/>
      <c r="L195"/>
      <c r="M195"/>
      <c r="N195"/>
      <c r="O195"/>
      <c r="P195"/>
      <c r="R195" s="151"/>
    </row>
    <row r="198" spans="2:18" ht="15.5" x14ac:dyDescent="0.35">
      <c r="B198" s="410" t="s">
        <v>2385</v>
      </c>
      <c r="C198" s="412"/>
      <c r="D198" s="412"/>
      <c r="E198" s="412"/>
      <c r="F198" s="412"/>
      <c r="G198" s="412"/>
      <c r="H198" s="412"/>
      <c r="I198" s="412"/>
      <c r="J198" s="412"/>
      <c r="K198" s="412"/>
      <c r="L198" s="411"/>
    </row>
    <row r="199" spans="2:18" ht="15.5" x14ac:dyDescent="0.35">
      <c r="B199" s="412" t="s">
        <v>1467</v>
      </c>
      <c r="C199" s="412"/>
      <c r="D199" s="134"/>
      <c r="E199" s="412" t="s">
        <v>1468</v>
      </c>
      <c r="F199" s="412"/>
      <c r="G199" s="134"/>
      <c r="H199" s="412" t="s">
        <v>1469</v>
      </c>
      <c r="I199" s="412"/>
      <c r="J199" s="134"/>
      <c r="K199" s="412" t="s">
        <v>1470</v>
      </c>
      <c r="L199" s="412"/>
    </row>
    <row r="200" spans="2:18" x14ac:dyDescent="0.35">
      <c r="B200" s="135" t="s">
        <v>1471</v>
      </c>
      <c r="C200" s="135" t="s">
        <v>1472</v>
      </c>
      <c r="D200" s="150"/>
      <c r="E200" s="135" t="s">
        <v>1471</v>
      </c>
      <c r="F200" s="135" t="s">
        <v>1472</v>
      </c>
      <c r="G200" s="150"/>
      <c r="H200" s="135" t="s">
        <v>1471</v>
      </c>
      <c r="I200" s="135" t="s">
        <v>1472</v>
      </c>
      <c r="J200" s="150"/>
      <c r="K200" s="135" t="s">
        <v>1471</v>
      </c>
      <c r="L200" s="135" t="s">
        <v>1472</v>
      </c>
      <c r="M200" s="1"/>
      <c r="N200" s="1"/>
      <c r="O200" s="1"/>
      <c r="P200" s="1"/>
    </row>
    <row r="201" spans="2:18" x14ac:dyDescent="0.35">
      <c r="B201" s="144"/>
      <c r="C201" s="137"/>
      <c r="D201" s="134"/>
      <c r="E201" s="144"/>
      <c r="F201" s="137"/>
      <c r="G201" s="134"/>
      <c r="H201" s="144"/>
      <c r="I201" s="137"/>
      <c r="J201" s="134"/>
      <c r="K201" s="144"/>
      <c r="L201" s="137"/>
    </row>
    <row r="202" spans="2:18" x14ac:dyDescent="0.35">
      <c r="B202" s="144" t="s">
        <v>1487</v>
      </c>
      <c r="C202" s="137"/>
      <c r="D202" s="134"/>
      <c r="E202" s="144" t="s">
        <v>549</v>
      </c>
      <c r="F202" s="137">
        <v>0.4</v>
      </c>
      <c r="G202" s="134"/>
      <c r="H202" s="144" t="s">
        <v>1504</v>
      </c>
      <c r="I202" s="137">
        <v>0.2</v>
      </c>
      <c r="J202" s="134"/>
      <c r="K202" s="144" t="s">
        <v>1505</v>
      </c>
      <c r="L202" s="137">
        <v>0.2</v>
      </c>
    </row>
    <row r="203" spans="2:18" x14ac:dyDescent="0.35">
      <c r="B203" s="144"/>
      <c r="C203" s="137"/>
      <c r="D203" s="134"/>
      <c r="E203" s="144" t="s">
        <v>1523</v>
      </c>
      <c r="F203" s="137">
        <v>0.05</v>
      </c>
      <c r="G203" s="134"/>
      <c r="H203" s="144" t="s">
        <v>1506</v>
      </c>
      <c r="I203" s="137">
        <v>0.3</v>
      </c>
      <c r="J203" s="134"/>
      <c r="K203" s="144" t="s">
        <v>1507</v>
      </c>
      <c r="L203" s="137">
        <v>0.3</v>
      </c>
    </row>
    <row r="204" spans="2:18" x14ac:dyDescent="0.35">
      <c r="B204" s="144"/>
      <c r="C204" s="137"/>
      <c r="D204" s="134"/>
      <c r="E204" s="144" t="s">
        <v>1503</v>
      </c>
      <c r="F204" s="137">
        <v>0.1</v>
      </c>
      <c r="G204" s="134"/>
      <c r="H204" s="144" t="s">
        <v>1509</v>
      </c>
      <c r="I204" s="137">
        <v>0.4</v>
      </c>
      <c r="J204" s="134"/>
      <c r="K204" s="144" t="s">
        <v>1510</v>
      </c>
      <c r="L204" s="137">
        <v>0.5</v>
      </c>
    </row>
    <row r="205" spans="2:18" x14ac:dyDescent="0.35">
      <c r="B205" s="144"/>
      <c r="C205" s="137"/>
      <c r="D205" s="134"/>
      <c r="E205" s="144" t="s">
        <v>1519</v>
      </c>
      <c r="F205" s="137">
        <v>0.15</v>
      </c>
      <c r="G205" s="134"/>
      <c r="H205" s="144" t="s">
        <v>1512</v>
      </c>
      <c r="I205" s="137">
        <v>0.3</v>
      </c>
      <c r="J205" s="134"/>
      <c r="K205" s="144" t="s">
        <v>2370</v>
      </c>
      <c r="L205" s="137">
        <v>0.7</v>
      </c>
    </row>
    <row r="206" spans="2:18" x14ac:dyDescent="0.35">
      <c r="B206" s="144"/>
      <c r="C206" s="137"/>
      <c r="D206" s="134"/>
      <c r="E206" s="144" t="s">
        <v>1511</v>
      </c>
      <c r="F206" s="137">
        <v>0.125</v>
      </c>
      <c r="G206" s="134"/>
      <c r="H206" s="144" t="s">
        <v>1514</v>
      </c>
      <c r="I206" s="137">
        <v>0.4</v>
      </c>
      <c r="J206" s="134"/>
      <c r="K206" s="144" t="s">
        <v>2371</v>
      </c>
      <c r="L206" s="137">
        <v>0.1</v>
      </c>
    </row>
    <row r="207" spans="2:18" x14ac:dyDescent="0.35">
      <c r="B207" s="144"/>
      <c r="C207" s="137"/>
      <c r="D207" s="134"/>
      <c r="E207" s="144" t="s">
        <v>1522</v>
      </c>
      <c r="F207" s="137">
        <v>0.5</v>
      </c>
      <c r="G207" s="134"/>
      <c r="H207" s="144" t="s">
        <v>1517</v>
      </c>
      <c r="I207" s="137">
        <v>0.5</v>
      </c>
      <c r="J207" s="134"/>
      <c r="K207" s="144" t="s">
        <v>1515</v>
      </c>
      <c r="L207" s="137">
        <v>0.2</v>
      </c>
    </row>
    <row r="208" spans="2:18" x14ac:dyDescent="0.35">
      <c r="B208" s="144"/>
      <c r="C208" s="137"/>
      <c r="D208" s="134"/>
      <c r="E208" s="144" t="s">
        <v>478</v>
      </c>
      <c r="F208" s="137">
        <v>0.2</v>
      </c>
      <c r="G208" s="134"/>
      <c r="H208" s="144" t="s">
        <v>1894</v>
      </c>
      <c r="I208" s="137">
        <v>0.4</v>
      </c>
      <c r="J208" s="134"/>
      <c r="K208" s="144" t="s">
        <v>1518</v>
      </c>
      <c r="L208" s="137">
        <v>0.3</v>
      </c>
    </row>
    <row r="209" spans="2:18" x14ac:dyDescent="0.35">
      <c r="B209" s="144"/>
      <c r="C209" s="137"/>
      <c r="D209" s="134"/>
      <c r="E209" s="144" t="s">
        <v>480</v>
      </c>
      <c r="F209" s="137">
        <v>0.25</v>
      </c>
      <c r="G209" s="134"/>
      <c r="H209" s="144" t="s">
        <v>1520</v>
      </c>
      <c r="I209" s="137">
        <v>0.4</v>
      </c>
      <c r="J209" s="134"/>
      <c r="K209" s="144" t="s">
        <v>2372</v>
      </c>
      <c r="L209" s="137">
        <v>0.5</v>
      </c>
    </row>
    <row r="210" spans="2:18" x14ac:dyDescent="0.35">
      <c r="B210" s="144"/>
      <c r="C210" s="137"/>
      <c r="D210" s="134"/>
      <c r="E210" s="144" t="s">
        <v>1508</v>
      </c>
      <c r="F210" s="137">
        <v>0.3</v>
      </c>
      <c r="G210" s="134"/>
      <c r="H210" s="144" t="s">
        <v>1895</v>
      </c>
      <c r="I210" s="137">
        <v>0.25</v>
      </c>
      <c r="J210" s="134"/>
      <c r="K210" s="144" t="s">
        <v>2373</v>
      </c>
      <c r="L210" s="137">
        <v>0.7</v>
      </c>
    </row>
    <row r="211" spans="2:18" x14ac:dyDescent="0.35">
      <c r="B211" s="144"/>
      <c r="C211" s="137"/>
      <c r="D211" s="134"/>
      <c r="E211" s="144" t="s">
        <v>1521</v>
      </c>
      <c r="F211" s="137">
        <v>0.35</v>
      </c>
      <c r="G211" s="134"/>
      <c r="H211" s="144" t="s">
        <v>1896</v>
      </c>
      <c r="I211" s="137">
        <v>0.35</v>
      </c>
      <c r="J211" s="134"/>
      <c r="K211" s="144" t="s">
        <v>2374</v>
      </c>
      <c r="L211" s="137">
        <v>0.3</v>
      </c>
    </row>
    <row r="212" spans="2:18" x14ac:dyDescent="0.35">
      <c r="B212" s="144"/>
      <c r="C212" s="137"/>
      <c r="D212" s="134"/>
      <c r="E212" s="144" t="s">
        <v>1525</v>
      </c>
      <c r="F212" s="137">
        <v>0.15</v>
      </c>
      <c r="G212" s="134"/>
      <c r="H212" s="144" t="s">
        <v>2498</v>
      </c>
      <c r="I212" s="137">
        <v>0.45</v>
      </c>
      <c r="J212" s="134"/>
      <c r="K212" s="144" t="s">
        <v>2375</v>
      </c>
      <c r="L212" s="137">
        <v>0.4</v>
      </c>
    </row>
    <row r="213" spans="2:18" x14ac:dyDescent="0.35">
      <c r="B213" s="144"/>
      <c r="C213" s="137"/>
      <c r="D213" s="134"/>
      <c r="E213" s="144" t="s">
        <v>1516</v>
      </c>
      <c r="F213" s="137">
        <v>0.32500000000000001</v>
      </c>
      <c r="G213" s="134"/>
      <c r="H213" s="144"/>
      <c r="I213" s="137"/>
      <c r="J213" s="134"/>
      <c r="K213" s="144" t="s">
        <v>2376</v>
      </c>
      <c r="L213" s="137">
        <v>0.6</v>
      </c>
    </row>
    <row r="214" spans="2:18" x14ac:dyDescent="0.35">
      <c r="B214" s="144"/>
      <c r="C214" s="137"/>
      <c r="D214" s="134"/>
      <c r="E214" s="144" t="s">
        <v>2508</v>
      </c>
      <c r="F214" s="137">
        <v>1</v>
      </c>
      <c r="G214" s="134"/>
      <c r="H214" s="144"/>
      <c r="I214" s="137"/>
      <c r="J214" s="134"/>
      <c r="K214" s="144" t="s">
        <v>2377</v>
      </c>
      <c r="L214" s="137">
        <v>0.35</v>
      </c>
    </row>
    <row r="215" spans="2:18" x14ac:dyDescent="0.35">
      <c r="B215" s="144"/>
      <c r="C215" s="137"/>
      <c r="D215" s="134"/>
      <c r="E215" s="144" t="s">
        <v>1524</v>
      </c>
      <c r="F215" s="137">
        <v>0.1</v>
      </c>
      <c r="G215" s="134"/>
      <c r="H215" s="144"/>
      <c r="I215" s="137"/>
      <c r="J215" s="134"/>
      <c r="K215" s="144" t="s">
        <v>2378</v>
      </c>
      <c r="L215" s="137">
        <v>0.45</v>
      </c>
    </row>
    <row r="216" spans="2:18" x14ac:dyDescent="0.35">
      <c r="B216" s="144"/>
      <c r="C216" s="137"/>
      <c r="D216" s="134"/>
      <c r="E216" s="144" t="s">
        <v>1513</v>
      </c>
      <c r="F216" s="137">
        <v>0.22500000000000001</v>
      </c>
      <c r="G216" s="134"/>
      <c r="H216" s="144"/>
      <c r="I216" s="137"/>
      <c r="J216" s="134"/>
      <c r="K216" s="144" t="s">
        <v>2379</v>
      </c>
      <c r="L216" s="137">
        <v>0.7</v>
      </c>
    </row>
    <row r="217" spans="2:18" x14ac:dyDescent="0.35">
      <c r="B217" s="144"/>
      <c r="C217" s="137"/>
      <c r="D217" s="134"/>
      <c r="E217" s="144" t="s">
        <v>481</v>
      </c>
      <c r="F217" s="137">
        <v>0.8</v>
      </c>
      <c r="G217" s="134"/>
      <c r="H217" s="144"/>
      <c r="I217" s="137"/>
      <c r="J217" s="134"/>
      <c r="K217" s="144"/>
      <c r="L217" s="137"/>
    </row>
    <row r="218" spans="2:18" x14ac:dyDescent="0.35">
      <c r="B218" s="144"/>
      <c r="C218" s="137"/>
      <c r="D218" s="134"/>
      <c r="E218" s="144" t="s">
        <v>1396</v>
      </c>
      <c r="F218" s="137">
        <v>0.45</v>
      </c>
      <c r="G218" s="134"/>
      <c r="H218" s="144"/>
      <c r="I218" s="137"/>
      <c r="J218" s="134"/>
      <c r="K218" s="144"/>
      <c r="L218" s="137"/>
    </row>
    <row r="219" spans="2:18" x14ac:dyDescent="0.35">
      <c r="B219" s="144"/>
      <c r="C219" s="137"/>
      <c r="D219" s="134"/>
      <c r="E219" s="144" t="s">
        <v>1874</v>
      </c>
      <c r="F219" s="137">
        <v>0.42499999999999999</v>
      </c>
      <c r="G219" s="134"/>
      <c r="H219" s="144"/>
      <c r="I219" s="137"/>
      <c r="J219" s="134"/>
      <c r="K219" s="144"/>
      <c r="L219" s="137"/>
    </row>
    <row r="220" spans="2:18" x14ac:dyDescent="0.35">
      <c r="B220" s="144"/>
      <c r="C220" s="137"/>
      <c r="D220" s="134"/>
      <c r="E220" s="144"/>
      <c r="F220" s="137"/>
      <c r="G220" s="134"/>
      <c r="H220" s="144"/>
      <c r="I220" s="137"/>
      <c r="J220" s="134"/>
      <c r="K220" s="144"/>
      <c r="L220" s="137"/>
    </row>
    <row r="221" spans="2:18" x14ac:dyDescent="0.35">
      <c r="B221" s="144"/>
      <c r="C221" s="137"/>
      <c r="D221" s="134"/>
      <c r="E221" s="144"/>
      <c r="F221" s="137"/>
      <c r="G221" s="134"/>
      <c r="H221" s="144"/>
      <c r="I221" s="137"/>
      <c r="J221" s="134"/>
      <c r="K221" s="144"/>
      <c r="L221" s="137"/>
    </row>
    <row r="222" spans="2:18" x14ac:dyDescent="0.35">
      <c r="B222" s="144"/>
      <c r="C222" s="137"/>
      <c r="D222" s="134"/>
      <c r="E222" s="144"/>
      <c r="F222" s="137"/>
      <c r="G222" s="134"/>
      <c r="H222" s="144"/>
      <c r="I222" s="137"/>
      <c r="J222" s="134"/>
      <c r="K222" s="144"/>
      <c r="L222" s="137"/>
    </row>
    <row r="223" spans="2:18" x14ac:dyDescent="0.35">
      <c r="B223" s="144"/>
      <c r="C223" s="137"/>
      <c r="D223" s="134"/>
      <c r="E223" s="144"/>
      <c r="F223" s="137"/>
      <c r="G223" s="134"/>
      <c r="H223" s="144"/>
      <c r="I223" s="137"/>
      <c r="J223" s="134"/>
      <c r="K223" s="144"/>
      <c r="L223" s="137"/>
    </row>
    <row r="224" spans="2:18" s="1" customFormat="1" x14ac:dyDescent="0.35">
      <c r="B224" s="3"/>
      <c r="C224"/>
      <c r="D224"/>
      <c r="E224" s="3"/>
      <c r="F224"/>
      <c r="G224"/>
      <c r="H224" s="3"/>
      <c r="I224"/>
      <c r="J224"/>
      <c r="K224" s="3"/>
      <c r="L224"/>
      <c r="M224"/>
      <c r="N224"/>
      <c r="O224"/>
      <c r="P224"/>
      <c r="R224" s="151"/>
    </row>
    <row r="227" spans="2:16" ht="15.5" x14ac:dyDescent="0.35">
      <c r="B227" s="410" t="s">
        <v>2386</v>
      </c>
      <c r="C227" s="412"/>
      <c r="D227" s="412"/>
      <c r="E227" s="412"/>
      <c r="F227" s="412"/>
      <c r="G227" s="412"/>
      <c r="H227" s="412"/>
      <c r="I227" s="412"/>
      <c r="J227" s="412"/>
      <c r="K227" s="412"/>
      <c r="L227" s="411"/>
    </row>
    <row r="228" spans="2:16" ht="15.5" x14ac:dyDescent="0.35">
      <c r="B228" s="412" t="s">
        <v>1467</v>
      </c>
      <c r="C228" s="412"/>
      <c r="D228" s="134"/>
      <c r="E228" s="412" t="s">
        <v>1468</v>
      </c>
      <c r="F228" s="412"/>
      <c r="G228" s="134"/>
      <c r="H228" s="412" t="s">
        <v>1469</v>
      </c>
      <c r="I228" s="412"/>
      <c r="J228" s="134"/>
      <c r="K228" s="412" t="s">
        <v>1470</v>
      </c>
      <c r="L228" s="412"/>
    </row>
    <row r="229" spans="2:16" x14ac:dyDescent="0.35">
      <c r="B229" s="135" t="s">
        <v>1471</v>
      </c>
      <c r="C229" s="135" t="s">
        <v>1472</v>
      </c>
      <c r="D229" s="150"/>
      <c r="E229" s="135" t="s">
        <v>1471</v>
      </c>
      <c r="F229" s="135" t="s">
        <v>1472</v>
      </c>
      <c r="G229" s="150"/>
      <c r="H229" s="135" t="s">
        <v>1471</v>
      </c>
      <c r="I229" s="135" t="s">
        <v>1472</v>
      </c>
      <c r="J229" s="150"/>
      <c r="K229" s="135" t="s">
        <v>1471</v>
      </c>
      <c r="L229" s="135" t="s">
        <v>1472</v>
      </c>
      <c r="M229" s="1"/>
      <c r="N229" s="1"/>
      <c r="O229" s="1"/>
      <c r="P229" s="1"/>
    </row>
    <row r="230" spans="2:16" x14ac:dyDescent="0.35">
      <c r="B230" s="144"/>
      <c r="C230" s="137"/>
      <c r="D230" s="134"/>
      <c r="E230" s="144"/>
      <c r="F230" s="137"/>
      <c r="G230" s="134"/>
      <c r="H230" s="144"/>
      <c r="I230" s="137"/>
      <c r="J230" s="134"/>
      <c r="K230" s="144"/>
      <c r="L230" s="137"/>
    </row>
    <row r="231" spans="2:16" x14ac:dyDescent="0.35">
      <c r="B231" s="144" t="s">
        <v>1588</v>
      </c>
      <c r="C231" s="137">
        <v>2.5000000000000001E-2</v>
      </c>
      <c r="D231" s="134"/>
      <c r="E231" s="144" t="s">
        <v>1487</v>
      </c>
      <c r="F231" s="137"/>
      <c r="G231" s="134"/>
      <c r="H231" s="144" t="s">
        <v>1526</v>
      </c>
      <c r="I231" s="137">
        <v>0.05</v>
      </c>
      <c r="J231" s="134"/>
      <c r="K231" s="144" t="s">
        <v>1487</v>
      </c>
      <c r="L231" s="137"/>
    </row>
    <row r="232" spans="2:16" x14ac:dyDescent="0.35">
      <c r="B232" s="144" t="s">
        <v>431</v>
      </c>
      <c r="C232" s="137">
        <v>0.05</v>
      </c>
      <c r="D232" s="134"/>
      <c r="E232" s="144"/>
      <c r="F232" s="137"/>
      <c r="G232" s="134"/>
      <c r="H232" s="144" t="s">
        <v>1528</v>
      </c>
      <c r="I232" s="137">
        <v>0.1</v>
      </c>
      <c r="J232" s="134"/>
      <c r="K232" s="144"/>
      <c r="L232" s="137"/>
    </row>
    <row r="233" spans="2:16" x14ac:dyDescent="0.35">
      <c r="B233" s="144" t="s">
        <v>1589</v>
      </c>
      <c r="C233" s="137">
        <v>0.1</v>
      </c>
      <c r="D233" s="134"/>
      <c r="E233" s="144"/>
      <c r="F233" s="137"/>
      <c r="G233" s="134"/>
      <c r="H233" s="144" t="s">
        <v>1529</v>
      </c>
      <c r="I233" s="137">
        <v>0.2</v>
      </c>
      <c r="J233" s="134"/>
      <c r="K233" s="144"/>
      <c r="L233" s="137"/>
    </row>
    <row r="234" spans="2:16" x14ac:dyDescent="0.35">
      <c r="B234" s="144" t="s">
        <v>433</v>
      </c>
      <c r="C234" s="137">
        <v>0.2</v>
      </c>
      <c r="D234" s="134"/>
      <c r="E234" s="144"/>
      <c r="F234" s="137"/>
      <c r="G234" s="134"/>
      <c r="H234" s="144" t="s">
        <v>1531</v>
      </c>
      <c r="I234" s="137">
        <v>0.3</v>
      </c>
      <c r="J234" s="134"/>
      <c r="K234" s="144"/>
      <c r="L234" s="137"/>
    </row>
    <row r="235" spans="2:16" x14ac:dyDescent="0.35">
      <c r="B235" s="144" t="s">
        <v>1590</v>
      </c>
      <c r="C235" s="137">
        <v>0.25</v>
      </c>
      <c r="D235" s="134"/>
      <c r="E235" s="144"/>
      <c r="F235" s="137"/>
      <c r="G235" s="134"/>
      <c r="H235" s="144" t="s">
        <v>1532</v>
      </c>
      <c r="I235" s="137">
        <v>0.4</v>
      </c>
      <c r="J235" s="134"/>
      <c r="K235" s="144"/>
      <c r="L235" s="137"/>
    </row>
    <row r="236" spans="2:16" x14ac:dyDescent="0.35">
      <c r="B236" s="144" t="s">
        <v>1368</v>
      </c>
      <c r="C236" s="137">
        <v>0.35</v>
      </c>
      <c r="D236" s="134"/>
      <c r="E236" s="144"/>
      <c r="F236" s="137"/>
      <c r="G236" s="134"/>
      <c r="H236" s="144" t="s">
        <v>1534</v>
      </c>
      <c r="I236" s="137">
        <v>0.5</v>
      </c>
      <c r="J236" s="134"/>
      <c r="K236" s="144"/>
      <c r="L236" s="137"/>
    </row>
    <row r="237" spans="2:16" x14ac:dyDescent="0.35">
      <c r="B237" s="144" t="s">
        <v>442</v>
      </c>
      <c r="C237" s="137">
        <v>0.4</v>
      </c>
      <c r="D237" s="134"/>
      <c r="E237" s="144"/>
      <c r="F237" s="137"/>
      <c r="G237" s="134"/>
      <c r="H237" s="144" t="s">
        <v>1897</v>
      </c>
      <c r="I237" s="137">
        <v>0.1</v>
      </c>
      <c r="J237" s="134"/>
      <c r="K237" s="144"/>
      <c r="L237" s="137"/>
    </row>
    <row r="238" spans="2:16" x14ac:dyDescent="0.35">
      <c r="B238" s="144" t="s">
        <v>1558</v>
      </c>
      <c r="C238" s="137">
        <v>0.7</v>
      </c>
      <c r="D238" s="134"/>
      <c r="E238" s="144"/>
      <c r="F238" s="137"/>
      <c r="G238" s="134"/>
      <c r="H238" s="144" t="s">
        <v>1537</v>
      </c>
      <c r="I238" s="137">
        <v>0.15</v>
      </c>
      <c r="J238" s="134"/>
      <c r="K238" s="144"/>
      <c r="L238" s="137"/>
    </row>
    <row r="239" spans="2:16" x14ac:dyDescent="0.35">
      <c r="B239" s="144" t="s">
        <v>444</v>
      </c>
      <c r="C239" s="137">
        <v>1.1000000000000001</v>
      </c>
      <c r="D239" s="134"/>
      <c r="E239" s="144"/>
      <c r="F239" s="137"/>
      <c r="G239" s="134"/>
      <c r="H239" s="144" t="s">
        <v>1539</v>
      </c>
      <c r="I239" s="137">
        <v>0.2</v>
      </c>
      <c r="J239" s="134"/>
      <c r="K239" s="144"/>
      <c r="L239" s="137"/>
    </row>
    <row r="240" spans="2:16" x14ac:dyDescent="0.35">
      <c r="B240" s="144" t="s">
        <v>2344</v>
      </c>
      <c r="C240" s="137">
        <v>7.4999999999999997E-2</v>
      </c>
      <c r="D240" s="134"/>
      <c r="E240" s="144"/>
      <c r="F240" s="137"/>
      <c r="G240" s="134"/>
      <c r="H240" s="144" t="s">
        <v>1541</v>
      </c>
      <c r="I240" s="137">
        <v>0.3</v>
      </c>
      <c r="J240" s="134"/>
      <c r="K240" s="144"/>
      <c r="L240" s="137"/>
    </row>
    <row r="241" spans="2:12" x14ac:dyDescent="0.35">
      <c r="B241" s="144" t="s">
        <v>1527</v>
      </c>
      <c r="C241" s="137">
        <v>0.1</v>
      </c>
      <c r="D241" s="134"/>
      <c r="E241" s="144"/>
      <c r="F241" s="137"/>
      <c r="G241" s="134"/>
      <c r="H241" s="144" t="s">
        <v>1543</v>
      </c>
      <c r="I241" s="137">
        <v>0.25</v>
      </c>
      <c r="J241" s="134"/>
      <c r="K241" s="144"/>
      <c r="L241" s="137"/>
    </row>
    <row r="242" spans="2:12" x14ac:dyDescent="0.35">
      <c r="B242" s="144" t="s">
        <v>1305</v>
      </c>
      <c r="C242" s="137">
        <v>0.15</v>
      </c>
      <c r="D242" s="134"/>
      <c r="E242" s="144"/>
      <c r="F242" s="137"/>
      <c r="G242" s="134"/>
      <c r="H242" s="144" t="s">
        <v>1545</v>
      </c>
      <c r="I242" s="137">
        <v>0.35</v>
      </c>
      <c r="J242" s="134"/>
      <c r="K242" s="144"/>
      <c r="L242" s="137"/>
    </row>
    <row r="243" spans="2:12" x14ac:dyDescent="0.35">
      <c r="B243" s="144" t="s">
        <v>1530</v>
      </c>
      <c r="C243" s="137">
        <v>0.25</v>
      </c>
      <c r="D243" s="134"/>
      <c r="E243" s="144"/>
      <c r="F243" s="137"/>
      <c r="G243" s="134"/>
      <c r="H243" s="144" t="s">
        <v>1546</v>
      </c>
      <c r="I243" s="137">
        <v>0.45</v>
      </c>
      <c r="J243" s="134"/>
      <c r="K243" s="144"/>
      <c r="L243" s="137"/>
    </row>
    <row r="244" spans="2:12" x14ac:dyDescent="0.35">
      <c r="B244" s="144" t="s">
        <v>1854</v>
      </c>
      <c r="C244" s="137">
        <v>0.3</v>
      </c>
      <c r="D244" s="134"/>
      <c r="E244" s="144"/>
      <c r="F244" s="137"/>
      <c r="G244" s="134"/>
      <c r="H244" s="144" t="s">
        <v>1548</v>
      </c>
      <c r="I244" s="137">
        <v>0.55000000000000004</v>
      </c>
      <c r="J244" s="134"/>
      <c r="K244" s="144"/>
      <c r="L244" s="137"/>
    </row>
    <row r="245" spans="2:12" x14ac:dyDescent="0.35">
      <c r="B245" s="144" t="s">
        <v>436</v>
      </c>
      <c r="C245" s="137">
        <v>0.3</v>
      </c>
      <c r="D245" s="134"/>
      <c r="E245" s="144"/>
      <c r="F245" s="137"/>
      <c r="G245" s="134"/>
      <c r="H245" s="144" t="s">
        <v>2494</v>
      </c>
      <c r="I245" s="137">
        <v>0.55000000000000004</v>
      </c>
      <c r="J245" s="134"/>
      <c r="K245" s="144"/>
      <c r="L245" s="137"/>
    </row>
    <row r="246" spans="2:12" x14ac:dyDescent="0.35">
      <c r="B246" s="144" t="s">
        <v>1533</v>
      </c>
      <c r="C246" s="137">
        <v>0.4</v>
      </c>
      <c r="D246" s="134"/>
      <c r="E246" s="144"/>
      <c r="F246" s="137"/>
      <c r="G246" s="134"/>
      <c r="H246" s="144" t="s">
        <v>2504</v>
      </c>
      <c r="I246" s="137">
        <v>0.8</v>
      </c>
      <c r="J246" s="134"/>
      <c r="K246" s="144"/>
      <c r="L246" s="137"/>
    </row>
    <row r="247" spans="2:12" x14ac:dyDescent="0.35">
      <c r="B247" s="144" t="s">
        <v>1535</v>
      </c>
      <c r="C247" s="137">
        <v>0.5</v>
      </c>
      <c r="D247" s="134"/>
      <c r="E247" s="144"/>
      <c r="F247" s="137"/>
      <c r="G247" s="134"/>
      <c r="H247" s="144" t="s">
        <v>1550</v>
      </c>
      <c r="I247" s="137">
        <v>0.35</v>
      </c>
      <c r="J247" s="134"/>
      <c r="K247" s="144"/>
      <c r="L247" s="137"/>
    </row>
    <row r="248" spans="2:12" x14ac:dyDescent="0.35">
      <c r="B248" s="144" t="s">
        <v>1536</v>
      </c>
      <c r="C248" s="137">
        <v>0.6</v>
      </c>
      <c r="D248" s="134"/>
      <c r="E248" s="144"/>
      <c r="F248" s="137"/>
      <c r="G248" s="134"/>
      <c r="H248" s="144" t="s">
        <v>1552</v>
      </c>
      <c r="I248" s="137">
        <v>0.55000000000000004</v>
      </c>
      <c r="J248" s="134"/>
      <c r="K248" s="144"/>
      <c r="L248" s="137"/>
    </row>
    <row r="249" spans="2:12" x14ac:dyDescent="0.35">
      <c r="B249" s="144" t="s">
        <v>1572</v>
      </c>
      <c r="C249" s="137">
        <v>0.45</v>
      </c>
      <c r="D249" s="134"/>
      <c r="E249" s="144"/>
      <c r="F249" s="137"/>
      <c r="G249" s="134"/>
      <c r="H249" s="144" t="s">
        <v>1555</v>
      </c>
      <c r="I249" s="137">
        <v>0.1</v>
      </c>
      <c r="J249" s="134"/>
      <c r="K249" s="144"/>
      <c r="L249" s="137"/>
    </row>
    <row r="250" spans="2:12" x14ac:dyDescent="0.35">
      <c r="B250" s="144" t="s">
        <v>1574</v>
      </c>
      <c r="C250" s="137">
        <v>0.55000000000000004</v>
      </c>
      <c r="D250" s="134"/>
      <c r="E250" s="144"/>
      <c r="F250" s="137"/>
      <c r="G250" s="134"/>
      <c r="H250" s="144" t="s">
        <v>1556</v>
      </c>
      <c r="I250" s="137">
        <v>0.15</v>
      </c>
      <c r="J250" s="134"/>
      <c r="K250" s="144"/>
      <c r="L250" s="137"/>
    </row>
    <row r="251" spans="2:12" x14ac:dyDescent="0.35">
      <c r="B251" s="144" t="s">
        <v>451</v>
      </c>
      <c r="C251" s="137">
        <v>0.5</v>
      </c>
      <c r="D251" s="134"/>
      <c r="E251" s="144"/>
      <c r="F251" s="137"/>
      <c r="G251" s="134"/>
      <c r="H251" s="144" t="s">
        <v>1557</v>
      </c>
      <c r="I251" s="137">
        <v>0.2</v>
      </c>
      <c r="J251" s="134"/>
      <c r="K251" s="144"/>
      <c r="L251" s="137"/>
    </row>
    <row r="252" spans="2:12" x14ac:dyDescent="0.35">
      <c r="B252" s="144" t="s">
        <v>1856</v>
      </c>
      <c r="C252" s="137">
        <v>0.6</v>
      </c>
      <c r="D252" s="134"/>
      <c r="E252" s="144"/>
      <c r="F252" s="137"/>
      <c r="G252" s="134"/>
      <c r="H252" s="144" t="s">
        <v>295</v>
      </c>
      <c r="I252" s="137">
        <v>0.1</v>
      </c>
      <c r="J252" s="134"/>
      <c r="K252" s="144"/>
      <c r="L252" s="137"/>
    </row>
    <row r="253" spans="2:12" x14ac:dyDescent="0.35">
      <c r="B253" s="144" t="s">
        <v>1575</v>
      </c>
      <c r="C253" s="137">
        <v>0.55000000000000004</v>
      </c>
      <c r="D253" s="134"/>
      <c r="E253" s="144"/>
      <c r="F253" s="137"/>
      <c r="G253" s="134"/>
      <c r="H253" s="144" t="s">
        <v>1559</v>
      </c>
      <c r="I253" s="137">
        <v>0.15</v>
      </c>
      <c r="J253" s="134"/>
      <c r="K253" s="144"/>
      <c r="L253" s="137"/>
    </row>
    <row r="254" spans="2:12" x14ac:dyDescent="0.35">
      <c r="B254" s="144" t="s">
        <v>453</v>
      </c>
      <c r="C254" s="137">
        <v>0.7</v>
      </c>
      <c r="D254" s="134"/>
      <c r="E254" s="144"/>
      <c r="F254" s="137"/>
      <c r="G254" s="134"/>
      <c r="H254" s="144" t="s">
        <v>1560</v>
      </c>
      <c r="I254" s="137">
        <v>0.2</v>
      </c>
      <c r="J254" s="134"/>
      <c r="K254" s="144"/>
      <c r="L254" s="137"/>
    </row>
    <row r="255" spans="2:12" x14ac:dyDescent="0.35">
      <c r="B255" s="144" t="s">
        <v>1582</v>
      </c>
      <c r="C255" s="137">
        <v>0.6</v>
      </c>
      <c r="D255" s="134"/>
      <c r="E255" s="144"/>
      <c r="F255" s="137"/>
      <c r="G255" s="134"/>
      <c r="H255" s="144" t="s">
        <v>2268</v>
      </c>
      <c r="I255" s="137">
        <v>0.3</v>
      </c>
      <c r="J255" s="134"/>
      <c r="K255" s="144"/>
      <c r="L255" s="137"/>
    </row>
    <row r="256" spans="2:12" x14ac:dyDescent="0.35">
      <c r="B256" s="144" t="s">
        <v>1863</v>
      </c>
      <c r="C256" s="137">
        <v>0.7</v>
      </c>
      <c r="D256" s="134"/>
      <c r="E256" s="144"/>
      <c r="F256" s="137"/>
      <c r="G256" s="134"/>
      <c r="H256" s="144" t="s">
        <v>1565</v>
      </c>
      <c r="I256" s="137">
        <v>0.4</v>
      </c>
      <c r="J256" s="134"/>
      <c r="K256" s="144"/>
      <c r="L256" s="137"/>
    </row>
    <row r="257" spans="2:12" x14ac:dyDescent="0.35">
      <c r="B257" s="144" t="s">
        <v>1583</v>
      </c>
      <c r="C257" s="137">
        <v>0.625</v>
      </c>
      <c r="D257" s="134"/>
      <c r="E257" s="144"/>
      <c r="F257" s="137"/>
      <c r="G257" s="134"/>
      <c r="H257" s="144" t="s">
        <v>1567</v>
      </c>
      <c r="I257" s="137">
        <v>0.5</v>
      </c>
      <c r="J257" s="134"/>
      <c r="K257" s="144"/>
      <c r="L257" s="137"/>
    </row>
    <row r="258" spans="2:12" x14ac:dyDescent="0.35">
      <c r="B258" s="144" t="s">
        <v>1864</v>
      </c>
      <c r="C258" s="137">
        <v>0.75</v>
      </c>
      <c r="D258" s="134"/>
      <c r="E258" s="144"/>
      <c r="F258" s="137"/>
      <c r="G258" s="134"/>
      <c r="H258" s="144" t="s">
        <v>1568</v>
      </c>
      <c r="I258" s="137">
        <v>0.6</v>
      </c>
      <c r="J258" s="134"/>
      <c r="K258" s="144"/>
      <c r="L258" s="137"/>
    </row>
    <row r="259" spans="2:12" x14ac:dyDescent="0.35">
      <c r="B259" s="144" t="s">
        <v>1584</v>
      </c>
      <c r="C259" s="137">
        <v>0.9</v>
      </c>
      <c r="D259" s="134"/>
      <c r="E259" s="144"/>
      <c r="F259" s="137"/>
      <c r="G259" s="134"/>
      <c r="H259" s="144" t="s">
        <v>1569</v>
      </c>
      <c r="I259" s="137">
        <v>0.4</v>
      </c>
      <c r="J259" s="134"/>
      <c r="K259" s="144"/>
      <c r="L259" s="137"/>
    </row>
    <row r="260" spans="2:12" x14ac:dyDescent="0.35">
      <c r="B260" s="144" t="s">
        <v>1585</v>
      </c>
      <c r="C260" s="137">
        <v>1.1000000000000001</v>
      </c>
      <c r="D260" s="134"/>
      <c r="E260" s="144"/>
      <c r="F260" s="137"/>
      <c r="G260" s="134"/>
      <c r="H260" s="144" t="s">
        <v>1570</v>
      </c>
      <c r="I260" s="137">
        <v>0.5</v>
      </c>
      <c r="J260" s="134"/>
      <c r="K260" s="144"/>
      <c r="L260" s="137"/>
    </row>
    <row r="261" spans="2:12" x14ac:dyDescent="0.35">
      <c r="B261" s="144" t="s">
        <v>1586</v>
      </c>
      <c r="C261" s="137">
        <v>1.25</v>
      </c>
      <c r="D261" s="134"/>
      <c r="E261" s="144"/>
      <c r="F261" s="137"/>
      <c r="G261" s="134"/>
      <c r="H261" s="144" t="s">
        <v>1571</v>
      </c>
      <c r="I261" s="137">
        <v>0.6</v>
      </c>
      <c r="J261" s="134"/>
      <c r="K261" s="144"/>
      <c r="L261" s="137"/>
    </row>
    <row r="262" spans="2:12" x14ac:dyDescent="0.35">
      <c r="B262" s="144" t="s">
        <v>1587</v>
      </c>
      <c r="C262" s="137">
        <v>1.5</v>
      </c>
      <c r="D262" s="134"/>
      <c r="E262" s="144"/>
      <c r="F262" s="137"/>
      <c r="G262" s="134"/>
      <c r="H262" s="144" t="s">
        <v>1573</v>
      </c>
      <c r="I262" s="137">
        <v>0.7</v>
      </c>
      <c r="J262" s="134"/>
      <c r="K262" s="144"/>
      <c r="L262" s="137"/>
    </row>
    <row r="263" spans="2:12" x14ac:dyDescent="0.35">
      <c r="B263" s="144" t="s">
        <v>1538</v>
      </c>
      <c r="C263" s="137">
        <v>0.65</v>
      </c>
      <c r="D263" s="134"/>
      <c r="E263" s="144"/>
      <c r="F263" s="137"/>
      <c r="G263" s="134"/>
      <c r="H263" s="144" t="s">
        <v>1898</v>
      </c>
      <c r="I263" s="137">
        <v>0.75</v>
      </c>
      <c r="J263" s="134"/>
      <c r="K263" s="144"/>
      <c r="L263" s="137"/>
    </row>
    <row r="264" spans="2:12" x14ac:dyDescent="0.35">
      <c r="B264" s="144" t="s">
        <v>1540</v>
      </c>
      <c r="C264" s="137">
        <v>0.75</v>
      </c>
      <c r="D264" s="134"/>
      <c r="E264" s="144"/>
      <c r="F264" s="137"/>
      <c r="G264" s="134"/>
      <c r="H264" s="144" t="s">
        <v>1899</v>
      </c>
      <c r="I264" s="137">
        <v>0.9</v>
      </c>
      <c r="J264" s="134"/>
      <c r="K264" s="144"/>
      <c r="L264" s="137"/>
    </row>
    <row r="265" spans="2:12" x14ac:dyDescent="0.35">
      <c r="B265" s="144" t="s">
        <v>1542</v>
      </c>
      <c r="C265" s="137">
        <v>1</v>
      </c>
      <c r="D265" s="134"/>
      <c r="E265" s="144"/>
      <c r="F265" s="137"/>
      <c r="G265" s="134"/>
      <c r="H265" s="144" t="s">
        <v>1900</v>
      </c>
      <c r="I265" s="137">
        <v>1.05</v>
      </c>
      <c r="J265" s="134"/>
      <c r="K265" s="144"/>
      <c r="L265" s="137"/>
    </row>
    <row r="266" spans="2:12" x14ac:dyDescent="0.35">
      <c r="B266" s="144" t="s">
        <v>1544</v>
      </c>
      <c r="C266" s="137">
        <v>1.1000000000000001</v>
      </c>
      <c r="D266" s="134"/>
      <c r="E266" s="144"/>
      <c r="F266" s="137"/>
      <c r="G266" s="134"/>
      <c r="H266" s="144" t="s">
        <v>2501</v>
      </c>
      <c r="I266" s="137">
        <v>0.95</v>
      </c>
      <c r="J266" s="134"/>
      <c r="K266" s="144"/>
      <c r="L266" s="137"/>
    </row>
    <row r="267" spans="2:12" x14ac:dyDescent="0.35">
      <c r="B267" s="144" t="s">
        <v>1576</v>
      </c>
      <c r="C267" s="137">
        <v>0.67500000000000004</v>
      </c>
      <c r="D267" s="134"/>
      <c r="E267" s="144"/>
      <c r="F267" s="137"/>
      <c r="G267" s="134"/>
      <c r="H267" s="144" t="s">
        <v>2400</v>
      </c>
      <c r="I267" s="137">
        <v>0.2</v>
      </c>
      <c r="J267" s="134"/>
      <c r="K267" s="144"/>
      <c r="L267" s="137"/>
    </row>
    <row r="268" spans="2:12" x14ac:dyDescent="0.35">
      <c r="B268" s="144" t="s">
        <v>1857</v>
      </c>
      <c r="C268" s="137">
        <v>0.77500000000000002</v>
      </c>
      <c r="D268" s="134"/>
      <c r="E268" s="144"/>
      <c r="F268" s="137"/>
      <c r="G268" s="134"/>
      <c r="H268" s="144"/>
      <c r="I268" s="137"/>
      <c r="J268" s="134"/>
      <c r="K268" s="144"/>
      <c r="L268" s="137"/>
    </row>
    <row r="269" spans="2:12" x14ac:dyDescent="0.35">
      <c r="B269" s="144" t="s">
        <v>1577</v>
      </c>
      <c r="C269" s="137">
        <v>1.2</v>
      </c>
      <c r="D269" s="134"/>
      <c r="E269" s="144"/>
      <c r="F269" s="137"/>
      <c r="G269" s="134"/>
      <c r="H269" s="144"/>
      <c r="I269" s="137"/>
      <c r="J269" s="134"/>
      <c r="K269" s="144"/>
      <c r="L269" s="137"/>
    </row>
    <row r="270" spans="2:12" x14ac:dyDescent="0.35">
      <c r="B270" s="144" t="s">
        <v>1858</v>
      </c>
      <c r="C270" s="137">
        <v>1.3</v>
      </c>
      <c r="D270" s="134"/>
      <c r="E270" s="144"/>
      <c r="F270" s="137"/>
      <c r="G270" s="134"/>
      <c r="H270" s="144"/>
      <c r="I270" s="137"/>
      <c r="J270" s="134"/>
      <c r="K270" s="144"/>
      <c r="L270" s="137"/>
    </row>
    <row r="271" spans="2:12" x14ac:dyDescent="0.35">
      <c r="B271" s="144" t="s">
        <v>2345</v>
      </c>
      <c r="C271" s="137">
        <v>1.4</v>
      </c>
      <c r="D271" s="134"/>
      <c r="E271" s="144"/>
      <c r="F271" s="137"/>
      <c r="G271" s="134"/>
      <c r="H271" s="144"/>
      <c r="I271" s="137"/>
      <c r="J271" s="134"/>
      <c r="K271" s="144"/>
      <c r="L271" s="137"/>
    </row>
    <row r="272" spans="2:12" x14ac:dyDescent="0.35">
      <c r="B272" s="144" t="s">
        <v>1578</v>
      </c>
      <c r="C272" s="137">
        <v>0.8</v>
      </c>
      <c r="D272" s="134"/>
      <c r="E272" s="144"/>
      <c r="F272" s="137"/>
      <c r="G272" s="134"/>
      <c r="H272" s="144"/>
      <c r="I272" s="137"/>
      <c r="J272" s="134"/>
      <c r="K272" s="144"/>
      <c r="L272" s="137"/>
    </row>
    <row r="273" spans="2:12" x14ac:dyDescent="0.35">
      <c r="B273" s="144" t="s">
        <v>1579</v>
      </c>
      <c r="C273" s="137">
        <v>0.97499999999999998</v>
      </c>
      <c r="D273" s="134"/>
      <c r="E273" s="144"/>
      <c r="F273" s="137"/>
      <c r="G273" s="134"/>
      <c r="H273" s="144"/>
      <c r="I273" s="137"/>
      <c r="J273" s="134"/>
      <c r="K273" s="144"/>
      <c r="L273" s="137"/>
    </row>
    <row r="274" spans="2:12" x14ac:dyDescent="0.35">
      <c r="B274" s="144" t="s">
        <v>438</v>
      </c>
      <c r="C274" s="137">
        <v>0.9</v>
      </c>
      <c r="D274" s="134"/>
      <c r="E274" s="144"/>
      <c r="F274" s="137"/>
      <c r="G274" s="134"/>
      <c r="H274" s="144"/>
      <c r="I274" s="137"/>
      <c r="J274" s="134"/>
      <c r="K274" s="144"/>
      <c r="L274" s="137"/>
    </row>
    <row r="275" spans="2:12" x14ac:dyDescent="0.35">
      <c r="B275" s="144" t="s">
        <v>1547</v>
      </c>
      <c r="C275" s="137">
        <v>1.7</v>
      </c>
      <c r="D275" s="134"/>
      <c r="E275" s="144"/>
      <c r="F275" s="137"/>
      <c r="G275" s="134"/>
      <c r="H275" s="144"/>
      <c r="I275" s="137"/>
      <c r="J275" s="134"/>
      <c r="K275" s="144"/>
      <c r="L275" s="137"/>
    </row>
    <row r="276" spans="2:12" x14ac:dyDescent="0.35">
      <c r="B276" s="144" t="s">
        <v>1549</v>
      </c>
      <c r="C276" s="137">
        <v>1.1000000000000001</v>
      </c>
      <c r="D276" s="134"/>
      <c r="E276" s="144"/>
      <c r="F276" s="137"/>
      <c r="G276" s="134"/>
      <c r="H276" s="144"/>
      <c r="I276" s="137"/>
      <c r="J276" s="134"/>
      <c r="K276" s="144"/>
      <c r="L276" s="137"/>
    </row>
    <row r="277" spans="2:12" x14ac:dyDescent="0.35">
      <c r="B277" s="144" t="s">
        <v>1551</v>
      </c>
      <c r="C277" s="137">
        <v>1.8</v>
      </c>
      <c r="D277" s="134"/>
      <c r="E277" s="144"/>
      <c r="F277" s="137"/>
      <c r="G277" s="134"/>
      <c r="H277" s="144"/>
      <c r="I277" s="137"/>
      <c r="J277" s="134"/>
      <c r="K277" s="144"/>
      <c r="L277" s="137"/>
    </row>
    <row r="278" spans="2:12" x14ac:dyDescent="0.35">
      <c r="B278" s="144" t="s">
        <v>1580</v>
      </c>
      <c r="C278" s="137">
        <v>1.2</v>
      </c>
      <c r="D278" s="134"/>
      <c r="E278" s="144"/>
      <c r="F278" s="137"/>
      <c r="G278" s="134"/>
      <c r="H278" s="144"/>
      <c r="I278" s="137"/>
      <c r="J278" s="134"/>
      <c r="K278" s="144"/>
      <c r="L278" s="137"/>
    </row>
    <row r="279" spans="2:12" x14ac:dyDescent="0.35">
      <c r="B279" s="144" t="s">
        <v>1859</v>
      </c>
      <c r="C279" s="137">
        <v>1.3</v>
      </c>
      <c r="D279" s="134"/>
      <c r="E279" s="144"/>
      <c r="F279" s="137"/>
      <c r="G279" s="134"/>
      <c r="H279" s="144"/>
      <c r="I279" s="137"/>
      <c r="J279" s="134"/>
      <c r="K279" s="144"/>
      <c r="L279" s="137"/>
    </row>
    <row r="280" spans="2:12" x14ac:dyDescent="0.35">
      <c r="B280" s="144" t="s">
        <v>1581</v>
      </c>
      <c r="C280" s="137">
        <v>1.75</v>
      </c>
      <c r="D280" s="134"/>
      <c r="E280" s="144"/>
      <c r="F280" s="137"/>
      <c r="G280" s="134"/>
      <c r="H280" s="144"/>
      <c r="I280" s="137"/>
      <c r="J280" s="134"/>
      <c r="K280" s="144"/>
      <c r="L280" s="137"/>
    </row>
    <row r="281" spans="2:12" x14ac:dyDescent="0.35">
      <c r="B281" s="144" t="s">
        <v>1860</v>
      </c>
      <c r="C281" s="137">
        <v>1.85</v>
      </c>
      <c r="D281" s="134"/>
      <c r="E281" s="144"/>
      <c r="F281" s="137"/>
      <c r="G281" s="134"/>
      <c r="H281" s="144"/>
      <c r="I281" s="137"/>
      <c r="J281" s="134"/>
      <c r="K281" s="144"/>
      <c r="L281" s="137"/>
    </row>
    <row r="282" spans="2:12" x14ac:dyDescent="0.35">
      <c r="B282" s="144" t="s">
        <v>456</v>
      </c>
      <c r="C282" s="137">
        <v>1.6</v>
      </c>
      <c r="D282" s="134"/>
      <c r="E282" s="144"/>
      <c r="F282" s="137"/>
      <c r="G282" s="134"/>
      <c r="H282" s="144"/>
      <c r="I282" s="137"/>
      <c r="J282" s="134"/>
      <c r="K282" s="144"/>
      <c r="L282" s="137"/>
    </row>
    <row r="283" spans="2:12" x14ac:dyDescent="0.35">
      <c r="B283" s="144" t="s">
        <v>1861</v>
      </c>
      <c r="C283" s="137">
        <v>2.1</v>
      </c>
      <c r="D283" s="134"/>
      <c r="E283" s="144"/>
      <c r="F283" s="137"/>
      <c r="G283" s="134"/>
      <c r="H283" s="144"/>
      <c r="I283" s="137"/>
      <c r="J283" s="134"/>
      <c r="K283" s="144"/>
      <c r="L283" s="137"/>
    </row>
    <row r="284" spans="2:12" x14ac:dyDescent="0.35">
      <c r="B284" s="144" t="s">
        <v>1862</v>
      </c>
      <c r="C284" s="137">
        <v>2.2000000000000002</v>
      </c>
      <c r="D284" s="134"/>
      <c r="E284" s="144"/>
      <c r="F284" s="137"/>
      <c r="G284" s="134"/>
      <c r="H284" s="144"/>
      <c r="I284" s="137"/>
      <c r="J284" s="134"/>
      <c r="K284" s="144"/>
      <c r="L284" s="137"/>
    </row>
    <row r="285" spans="2:12" x14ac:dyDescent="0.35">
      <c r="B285" s="144" t="s">
        <v>1553</v>
      </c>
      <c r="C285" s="137">
        <v>1.2</v>
      </c>
      <c r="D285" s="134"/>
      <c r="E285" s="144"/>
      <c r="F285" s="137"/>
      <c r="G285" s="134"/>
      <c r="H285" s="144"/>
      <c r="I285" s="137"/>
      <c r="J285" s="134"/>
      <c r="K285" s="144"/>
      <c r="L285" s="137"/>
    </row>
    <row r="286" spans="2:12" x14ac:dyDescent="0.35">
      <c r="B286" s="144" t="s">
        <v>1554</v>
      </c>
      <c r="C286" s="137">
        <v>1.3</v>
      </c>
      <c r="D286" s="134"/>
      <c r="E286" s="144"/>
      <c r="F286" s="137"/>
      <c r="G286" s="134"/>
      <c r="H286" s="144"/>
      <c r="I286" s="137"/>
      <c r="J286" s="134"/>
      <c r="K286" s="144"/>
      <c r="L286" s="137"/>
    </row>
    <row r="287" spans="2:12" x14ac:dyDescent="0.35">
      <c r="B287" s="144" t="s">
        <v>440</v>
      </c>
      <c r="C287" s="137">
        <v>2</v>
      </c>
      <c r="D287" s="134"/>
      <c r="E287" s="144"/>
      <c r="F287" s="137"/>
      <c r="G287" s="134"/>
      <c r="H287" s="144"/>
      <c r="I287" s="137"/>
      <c r="J287" s="134"/>
      <c r="K287" s="144"/>
      <c r="L287" s="137"/>
    </row>
    <row r="288" spans="2:12" x14ac:dyDescent="0.35">
      <c r="B288" s="144" t="s">
        <v>2346</v>
      </c>
      <c r="C288" s="137">
        <v>1.2</v>
      </c>
      <c r="D288" s="134"/>
      <c r="E288" s="144"/>
      <c r="F288" s="137"/>
      <c r="G288" s="134"/>
      <c r="H288" s="144"/>
      <c r="I288" s="137"/>
      <c r="J288" s="134"/>
      <c r="K288" s="144"/>
      <c r="L288" s="137"/>
    </row>
    <row r="289" spans="2:18" x14ac:dyDescent="0.35">
      <c r="B289" s="144" t="s">
        <v>625</v>
      </c>
      <c r="C289" s="137">
        <v>0.1</v>
      </c>
      <c r="D289" s="134"/>
      <c r="E289" s="144"/>
      <c r="F289" s="137"/>
      <c r="G289" s="134"/>
      <c r="H289" s="144"/>
      <c r="I289" s="137"/>
      <c r="J289" s="134"/>
      <c r="K289" s="144"/>
      <c r="L289" s="137"/>
    </row>
    <row r="290" spans="2:18" x14ac:dyDescent="0.35">
      <c r="B290" s="144" t="s">
        <v>1561</v>
      </c>
      <c r="C290" s="137">
        <v>0.15</v>
      </c>
      <c r="D290" s="134"/>
      <c r="E290" s="144"/>
      <c r="F290" s="137"/>
      <c r="G290" s="134"/>
      <c r="H290" s="144"/>
      <c r="I290" s="137"/>
      <c r="J290" s="134"/>
      <c r="K290" s="144"/>
      <c r="L290" s="137"/>
    </row>
    <row r="291" spans="2:18" x14ac:dyDescent="0.35">
      <c r="B291" s="144" t="s">
        <v>1562</v>
      </c>
      <c r="C291" s="137">
        <v>0.17499999999999999</v>
      </c>
      <c r="D291" s="134"/>
      <c r="E291" s="144"/>
      <c r="F291" s="137"/>
      <c r="G291" s="134"/>
      <c r="H291" s="144"/>
      <c r="I291" s="137"/>
      <c r="J291" s="134"/>
      <c r="K291" s="144"/>
      <c r="L291" s="137"/>
    </row>
    <row r="292" spans="2:18" x14ac:dyDescent="0.35">
      <c r="B292" s="144" t="s">
        <v>1629</v>
      </c>
      <c r="C292" s="137">
        <v>0.1</v>
      </c>
      <c r="D292" s="134"/>
      <c r="E292" s="144"/>
      <c r="F292" s="137"/>
      <c r="G292" s="134"/>
      <c r="H292" s="144"/>
      <c r="I292" s="137"/>
      <c r="J292" s="134"/>
      <c r="K292" s="144"/>
      <c r="L292" s="137"/>
    </row>
    <row r="293" spans="2:18" x14ac:dyDescent="0.35">
      <c r="B293" s="144" t="s">
        <v>1563</v>
      </c>
      <c r="C293" s="137">
        <v>0.15</v>
      </c>
      <c r="D293" s="134"/>
      <c r="E293" s="144"/>
      <c r="F293" s="137"/>
      <c r="G293" s="134"/>
      <c r="H293" s="144"/>
      <c r="I293" s="137"/>
      <c r="J293" s="134"/>
      <c r="K293" s="144"/>
      <c r="L293" s="137"/>
    </row>
    <row r="294" spans="2:18" x14ac:dyDescent="0.35">
      <c r="B294" s="144" t="s">
        <v>1564</v>
      </c>
      <c r="C294" s="137">
        <v>0.17499999999999999</v>
      </c>
      <c r="D294" s="134"/>
      <c r="E294" s="144"/>
      <c r="F294" s="137"/>
      <c r="G294" s="134"/>
      <c r="H294" s="144"/>
      <c r="I294" s="137"/>
      <c r="J294" s="134"/>
      <c r="K294" s="144"/>
      <c r="L294" s="137"/>
    </row>
    <row r="295" spans="2:18" x14ac:dyDescent="0.35">
      <c r="B295" s="144" t="s">
        <v>1855</v>
      </c>
      <c r="C295" s="137">
        <v>0.125</v>
      </c>
      <c r="D295" s="134"/>
      <c r="E295" s="144"/>
      <c r="F295" s="137"/>
      <c r="G295" s="134"/>
      <c r="H295" s="144"/>
      <c r="I295" s="137"/>
      <c r="J295" s="134"/>
      <c r="K295" s="144"/>
      <c r="L295" s="137"/>
    </row>
    <row r="296" spans="2:18" x14ac:dyDescent="0.35">
      <c r="B296" s="144" t="s">
        <v>1566</v>
      </c>
      <c r="C296" s="137">
        <v>0.4</v>
      </c>
      <c r="D296" s="134"/>
      <c r="E296" s="144"/>
      <c r="F296" s="137"/>
      <c r="G296" s="134"/>
      <c r="H296" s="144"/>
      <c r="I296" s="137"/>
      <c r="J296" s="134"/>
      <c r="K296" s="144"/>
      <c r="L296" s="137"/>
    </row>
    <row r="297" spans="2:18" x14ac:dyDescent="0.35">
      <c r="B297" s="144"/>
      <c r="C297" s="137"/>
      <c r="D297" s="134"/>
      <c r="E297" s="144"/>
      <c r="F297" s="137"/>
      <c r="G297" s="134"/>
      <c r="H297" s="144"/>
      <c r="I297" s="137"/>
      <c r="J297" s="134"/>
      <c r="K297" s="144"/>
      <c r="L297" s="137"/>
    </row>
    <row r="298" spans="2:18" x14ac:dyDescent="0.35">
      <c r="B298" s="144"/>
      <c r="C298" s="137"/>
      <c r="D298" s="134"/>
      <c r="E298" s="144"/>
      <c r="F298" s="137"/>
      <c r="G298" s="134"/>
      <c r="H298" s="144"/>
      <c r="I298" s="137"/>
      <c r="J298" s="134"/>
      <c r="K298" s="144"/>
      <c r="L298" s="137"/>
    </row>
    <row r="299" spans="2:18" x14ac:dyDescent="0.35">
      <c r="B299" s="144"/>
      <c r="C299" s="137"/>
      <c r="D299" s="134"/>
      <c r="E299" s="144"/>
      <c r="F299" s="137"/>
      <c r="G299" s="134"/>
      <c r="H299" s="144"/>
      <c r="I299" s="137"/>
      <c r="J299" s="134"/>
      <c r="K299" s="144"/>
      <c r="L299" s="137"/>
    </row>
    <row r="300" spans="2:18" s="1" customFormat="1" x14ac:dyDescent="0.35">
      <c r="B300" s="3"/>
      <c r="C300"/>
      <c r="D300"/>
      <c r="E300" s="3"/>
      <c r="F300"/>
      <c r="G300"/>
      <c r="H300" s="3"/>
      <c r="I300"/>
      <c r="J300"/>
      <c r="K300" s="3"/>
      <c r="L300"/>
      <c r="M300"/>
      <c r="N300"/>
      <c r="O300"/>
      <c r="P300"/>
      <c r="R300" s="151"/>
    </row>
    <row r="303" spans="2:18" ht="15.5" x14ac:dyDescent="0.35">
      <c r="B303" s="410" t="s">
        <v>2387</v>
      </c>
      <c r="C303" s="412"/>
      <c r="D303" s="412"/>
      <c r="E303" s="412"/>
      <c r="F303" s="412"/>
      <c r="G303" s="412"/>
      <c r="H303" s="412"/>
      <c r="I303" s="412"/>
      <c r="J303" s="412"/>
      <c r="K303" s="412"/>
      <c r="L303" s="411"/>
    </row>
    <row r="304" spans="2:18" ht="15.5" x14ac:dyDescent="0.35">
      <c r="B304" s="412" t="s">
        <v>1467</v>
      </c>
      <c r="C304" s="412"/>
      <c r="D304" s="134"/>
      <c r="E304" s="412" t="s">
        <v>1468</v>
      </c>
      <c r="F304" s="412"/>
      <c r="G304" s="134"/>
      <c r="H304" s="412" t="s">
        <v>1469</v>
      </c>
      <c r="I304" s="412"/>
      <c r="J304" s="134"/>
      <c r="K304" s="412" t="s">
        <v>1470</v>
      </c>
      <c r="L304" s="412"/>
    </row>
    <row r="305" spans="2:16" x14ac:dyDescent="0.35">
      <c r="B305" s="135" t="s">
        <v>1471</v>
      </c>
      <c r="C305" s="135" t="s">
        <v>1472</v>
      </c>
      <c r="D305" s="150"/>
      <c r="E305" s="135" t="s">
        <v>1471</v>
      </c>
      <c r="F305" s="135" t="s">
        <v>1472</v>
      </c>
      <c r="G305" s="150"/>
      <c r="H305" s="135" t="s">
        <v>1471</v>
      </c>
      <c r="I305" s="135" t="s">
        <v>1472</v>
      </c>
      <c r="J305" s="150"/>
      <c r="K305" s="135" t="s">
        <v>1471</v>
      </c>
      <c r="L305" s="135" t="s">
        <v>1472</v>
      </c>
      <c r="M305" s="1"/>
      <c r="N305" s="1"/>
      <c r="O305" s="1"/>
      <c r="P305" s="1"/>
    </row>
    <row r="306" spans="2:16" x14ac:dyDescent="0.35">
      <c r="B306" s="144"/>
      <c r="C306" s="137"/>
      <c r="D306" s="134"/>
      <c r="E306" s="144"/>
      <c r="F306" s="137"/>
      <c r="G306" s="134"/>
      <c r="H306" s="144"/>
      <c r="I306" s="137"/>
      <c r="J306" s="134"/>
      <c r="K306" s="144"/>
      <c r="L306" s="137"/>
    </row>
    <row r="307" spans="2:16" x14ac:dyDescent="0.35">
      <c r="B307" s="144" t="s">
        <v>1591</v>
      </c>
      <c r="C307" s="137">
        <v>0.2</v>
      </c>
      <c r="D307" s="134"/>
      <c r="E307" s="144" t="s">
        <v>1591</v>
      </c>
      <c r="F307" s="137">
        <v>0.2</v>
      </c>
      <c r="G307" s="134"/>
      <c r="H307" s="144" t="s">
        <v>1865</v>
      </c>
      <c r="I307" s="137">
        <v>0.05</v>
      </c>
      <c r="J307" s="134"/>
      <c r="K307" s="144" t="s">
        <v>1591</v>
      </c>
      <c r="L307" s="137">
        <v>0.3</v>
      </c>
    </row>
    <row r="308" spans="2:16" x14ac:dyDescent="0.35">
      <c r="B308" s="144" t="s">
        <v>1865</v>
      </c>
      <c r="C308" s="137">
        <v>0.05</v>
      </c>
      <c r="D308" s="134"/>
      <c r="E308" s="144" t="s">
        <v>1865</v>
      </c>
      <c r="F308" s="137">
        <v>0.05</v>
      </c>
      <c r="G308" s="134"/>
      <c r="H308" s="144" t="s">
        <v>1591</v>
      </c>
      <c r="I308" s="137">
        <v>0.3</v>
      </c>
      <c r="J308" s="134"/>
      <c r="K308" s="144" t="s">
        <v>1865</v>
      </c>
      <c r="L308" s="137">
        <v>0.05</v>
      </c>
    </row>
    <row r="309" spans="2:16" x14ac:dyDescent="0.35">
      <c r="B309" s="144" t="s">
        <v>1593</v>
      </c>
      <c r="C309" s="137">
        <v>0.1</v>
      </c>
      <c r="D309" s="134"/>
      <c r="E309" s="144" t="s">
        <v>1603</v>
      </c>
      <c r="F309" s="137">
        <v>0.1</v>
      </c>
      <c r="G309" s="134"/>
      <c r="H309" s="144" t="s">
        <v>1598</v>
      </c>
      <c r="I309" s="137">
        <v>0.17499999999999999</v>
      </c>
      <c r="J309" s="134"/>
      <c r="K309" s="144" t="s">
        <v>1595</v>
      </c>
      <c r="L309" s="137">
        <v>1</v>
      </c>
    </row>
    <row r="310" spans="2:16" x14ac:dyDescent="0.35">
      <c r="B310" s="144" t="s">
        <v>1761</v>
      </c>
      <c r="C310" s="137">
        <v>0.1</v>
      </c>
      <c r="D310" s="134"/>
      <c r="E310" s="144" t="s">
        <v>1875</v>
      </c>
      <c r="F310" s="137">
        <v>0.2</v>
      </c>
      <c r="G310" s="134"/>
      <c r="H310" s="144" t="s">
        <v>143</v>
      </c>
      <c r="I310" s="137">
        <v>0.1</v>
      </c>
      <c r="J310" s="134"/>
      <c r="K310" s="144" t="s">
        <v>1881</v>
      </c>
      <c r="L310" s="137">
        <v>0.15</v>
      </c>
    </row>
    <row r="311" spans="2:16" x14ac:dyDescent="0.35">
      <c r="B311" s="144" t="s">
        <v>1596</v>
      </c>
      <c r="C311" s="137">
        <v>0.15</v>
      </c>
      <c r="D311" s="134"/>
      <c r="E311" s="144" t="s">
        <v>1876</v>
      </c>
      <c r="F311" s="137">
        <v>0.1</v>
      </c>
      <c r="G311" s="134"/>
      <c r="H311" s="144" t="s">
        <v>1902</v>
      </c>
      <c r="I311" s="137">
        <v>0.125</v>
      </c>
      <c r="J311" s="134"/>
      <c r="K311" s="144" t="s">
        <v>1882</v>
      </c>
      <c r="L311" s="137">
        <v>0.5</v>
      </c>
    </row>
    <row r="312" spans="2:16" x14ac:dyDescent="0.35">
      <c r="B312" s="144" t="s">
        <v>1599</v>
      </c>
      <c r="C312" s="137">
        <v>0.2</v>
      </c>
      <c r="D312" s="134"/>
      <c r="E312" s="144" t="s">
        <v>1602</v>
      </c>
      <c r="F312" s="137">
        <v>0.1</v>
      </c>
      <c r="G312" s="134"/>
      <c r="H312" s="144" t="s">
        <v>1603</v>
      </c>
      <c r="I312" s="137">
        <v>7.4999999999999997E-2</v>
      </c>
      <c r="J312" s="134"/>
      <c r="K312" s="144" t="s">
        <v>1605</v>
      </c>
      <c r="L312" s="137">
        <v>0.2</v>
      </c>
    </row>
    <row r="313" spans="2:16" x14ac:dyDescent="0.35">
      <c r="B313" s="144" t="s">
        <v>1866</v>
      </c>
      <c r="C313" s="137">
        <v>0.35</v>
      </c>
      <c r="D313" s="134"/>
      <c r="E313" s="144" t="s">
        <v>1600</v>
      </c>
      <c r="F313" s="137">
        <v>0.27500000000000002</v>
      </c>
      <c r="G313" s="134"/>
      <c r="H313" s="144" t="s">
        <v>1903</v>
      </c>
      <c r="I313" s="137">
        <v>0.15</v>
      </c>
      <c r="J313" s="134"/>
      <c r="K313" s="144" t="s">
        <v>1607</v>
      </c>
      <c r="L313" s="137">
        <v>0.1</v>
      </c>
    </row>
    <row r="314" spans="2:16" x14ac:dyDescent="0.35">
      <c r="B314" s="144" t="s">
        <v>1867</v>
      </c>
      <c r="C314" s="137">
        <v>0.8</v>
      </c>
      <c r="D314" s="134"/>
      <c r="E314" s="144" t="s">
        <v>1604</v>
      </c>
      <c r="F314" s="137">
        <v>0.7</v>
      </c>
      <c r="G314" s="134"/>
      <c r="H314" s="144" t="s">
        <v>1606</v>
      </c>
      <c r="I314" s="137">
        <v>0.25</v>
      </c>
      <c r="J314" s="134"/>
      <c r="K314" s="144" t="s">
        <v>2388</v>
      </c>
      <c r="L314" s="137">
        <v>0.3</v>
      </c>
    </row>
    <row r="315" spans="2:16" x14ac:dyDescent="0.35">
      <c r="B315" s="144" t="s">
        <v>1868</v>
      </c>
      <c r="C315" s="137">
        <v>0.6</v>
      </c>
      <c r="D315" s="134"/>
      <c r="E315" s="144" t="s">
        <v>2505</v>
      </c>
      <c r="F315" s="137">
        <v>0.2</v>
      </c>
      <c r="G315" s="134"/>
      <c r="H315" s="144" t="s">
        <v>1601</v>
      </c>
      <c r="I315" s="137">
        <v>0.2</v>
      </c>
      <c r="J315" s="134"/>
      <c r="K315" s="144" t="s">
        <v>2389</v>
      </c>
      <c r="L315" s="137">
        <v>0.125</v>
      </c>
    </row>
    <row r="316" spans="2:16" x14ac:dyDescent="0.35">
      <c r="B316" s="144" t="s">
        <v>2506</v>
      </c>
      <c r="C316" s="137">
        <v>1</v>
      </c>
      <c r="D316" s="134"/>
      <c r="E316" s="144" t="s">
        <v>1597</v>
      </c>
      <c r="F316" s="137">
        <v>0.5</v>
      </c>
      <c r="G316" s="134"/>
      <c r="H316" s="144" t="s">
        <v>2401</v>
      </c>
      <c r="I316" s="137">
        <v>0.15</v>
      </c>
      <c r="J316" s="134"/>
      <c r="K316" s="144" t="s">
        <v>137</v>
      </c>
      <c r="L316" s="137">
        <v>0.17499999999999999</v>
      </c>
    </row>
    <row r="317" spans="2:16" x14ac:dyDescent="0.35">
      <c r="B317" s="144" t="s">
        <v>2499</v>
      </c>
      <c r="C317" s="137">
        <v>1.1000000000000001</v>
      </c>
      <c r="D317" s="134"/>
      <c r="E317" s="144" t="s">
        <v>2489</v>
      </c>
      <c r="F317" s="137">
        <v>0.3</v>
      </c>
      <c r="G317" s="134"/>
      <c r="H317" s="144" t="s">
        <v>2402</v>
      </c>
      <c r="I317" s="137">
        <v>1.1000000000000001</v>
      </c>
      <c r="J317" s="134"/>
      <c r="K317" s="144" t="s">
        <v>1610</v>
      </c>
      <c r="L317" s="137">
        <v>0.22500000000000001</v>
      </c>
    </row>
    <row r="318" spans="2:16" x14ac:dyDescent="0.35">
      <c r="B318" s="144" t="s">
        <v>396</v>
      </c>
      <c r="C318" s="137">
        <v>7.4999999999999997E-2</v>
      </c>
      <c r="D318" s="134"/>
      <c r="E318" s="144" t="s">
        <v>2488</v>
      </c>
      <c r="F318" s="137">
        <v>0.35</v>
      </c>
      <c r="G318" s="134"/>
      <c r="H318" s="144" t="s">
        <v>2403</v>
      </c>
      <c r="I318" s="137">
        <v>0.9</v>
      </c>
      <c r="J318" s="134"/>
      <c r="K318" s="144" t="s">
        <v>1611</v>
      </c>
      <c r="L318" s="137">
        <v>0.1</v>
      </c>
    </row>
    <row r="319" spans="2:16" x14ac:dyDescent="0.35">
      <c r="B319" s="144"/>
      <c r="C319" s="137"/>
      <c r="D319" s="134"/>
      <c r="E319" s="144"/>
      <c r="F319" s="137"/>
      <c r="G319" s="134"/>
      <c r="H319" s="144" t="s">
        <v>1592</v>
      </c>
      <c r="I319" s="137">
        <v>0.27500000000000002</v>
      </c>
      <c r="J319" s="134"/>
      <c r="K319" s="144" t="s">
        <v>1887</v>
      </c>
      <c r="L319" s="137">
        <v>0.4</v>
      </c>
    </row>
    <row r="320" spans="2:16" x14ac:dyDescent="0.35">
      <c r="B320" s="144"/>
      <c r="C320" s="137"/>
      <c r="D320" s="134"/>
      <c r="E320" s="144"/>
      <c r="F320" s="137"/>
      <c r="G320" s="134"/>
      <c r="H320" s="144" t="s">
        <v>1594</v>
      </c>
      <c r="I320" s="137">
        <v>0.22500000000000001</v>
      </c>
      <c r="J320" s="134"/>
      <c r="K320" s="144" t="s">
        <v>2390</v>
      </c>
      <c r="L320" s="137">
        <v>0.6</v>
      </c>
    </row>
    <row r="321" spans="2:12" x14ac:dyDescent="0.35">
      <c r="B321" s="144"/>
      <c r="C321" s="137"/>
      <c r="D321" s="134"/>
      <c r="E321" s="144"/>
      <c r="F321" s="137"/>
      <c r="G321" s="134"/>
      <c r="H321" s="144" t="s">
        <v>1608</v>
      </c>
      <c r="I321" s="137">
        <v>0.4</v>
      </c>
      <c r="J321" s="134"/>
      <c r="K321" s="144" t="s">
        <v>1883</v>
      </c>
      <c r="L321" s="137">
        <v>0.05</v>
      </c>
    </row>
    <row r="322" spans="2:12" x14ac:dyDescent="0.35">
      <c r="B322" s="144"/>
      <c r="C322" s="137"/>
      <c r="D322" s="134"/>
      <c r="E322" s="144"/>
      <c r="F322" s="137"/>
      <c r="G322" s="134"/>
      <c r="H322" s="144" t="s">
        <v>1901</v>
      </c>
      <c r="I322" s="137">
        <v>0.7</v>
      </c>
      <c r="J322" s="134"/>
      <c r="K322" s="144" t="s">
        <v>1880</v>
      </c>
      <c r="L322" s="137">
        <v>0.1</v>
      </c>
    </row>
    <row r="323" spans="2:12" x14ac:dyDescent="0.35">
      <c r="B323" s="144"/>
      <c r="C323" s="137"/>
      <c r="D323" s="134"/>
      <c r="E323" s="144"/>
      <c r="F323" s="137"/>
      <c r="G323" s="134"/>
      <c r="H323" s="144" t="s">
        <v>2404</v>
      </c>
      <c r="I323" s="137">
        <v>1</v>
      </c>
      <c r="J323" s="134"/>
      <c r="K323" s="144" t="s">
        <v>1609</v>
      </c>
      <c r="L323" s="137">
        <v>0.1</v>
      </c>
    </row>
    <row r="324" spans="2:12" x14ac:dyDescent="0.35">
      <c r="B324" s="144"/>
      <c r="C324" s="137"/>
      <c r="D324" s="134"/>
      <c r="E324" s="144"/>
      <c r="F324" s="137"/>
      <c r="G324" s="134"/>
      <c r="H324" s="144" t="s">
        <v>2485</v>
      </c>
      <c r="I324" s="137">
        <v>0.6</v>
      </c>
      <c r="J324" s="134"/>
      <c r="K324" s="144" t="s">
        <v>2486</v>
      </c>
      <c r="L324" s="137">
        <v>0.15</v>
      </c>
    </row>
    <row r="325" spans="2:12" x14ac:dyDescent="0.35">
      <c r="B325" s="144"/>
      <c r="C325" s="137"/>
      <c r="D325" s="134"/>
      <c r="E325" s="144"/>
      <c r="F325" s="137"/>
      <c r="G325" s="134"/>
      <c r="H325" s="144" t="s">
        <v>2492</v>
      </c>
      <c r="I325" s="137">
        <v>0.375</v>
      </c>
      <c r="J325" s="134"/>
      <c r="K325" s="144" t="s">
        <v>2502</v>
      </c>
      <c r="L325" s="137">
        <v>0.35</v>
      </c>
    </row>
    <row r="326" spans="2:12" x14ac:dyDescent="0.35">
      <c r="B326" s="144"/>
      <c r="C326" s="137"/>
      <c r="D326" s="134"/>
      <c r="E326" s="144"/>
      <c r="F326" s="137"/>
      <c r="G326" s="134"/>
      <c r="H326" s="144" t="s">
        <v>2405</v>
      </c>
      <c r="I326" s="137">
        <v>0.5</v>
      </c>
      <c r="J326" s="134"/>
      <c r="K326" s="144" t="s">
        <v>1884</v>
      </c>
      <c r="L326" s="137">
        <v>0.15</v>
      </c>
    </row>
    <row r="327" spans="2:12" x14ac:dyDescent="0.35">
      <c r="B327" s="144"/>
      <c r="C327" s="137"/>
      <c r="D327" s="134"/>
      <c r="E327" s="144"/>
      <c r="F327" s="137"/>
      <c r="G327" s="134"/>
      <c r="H327" s="144"/>
      <c r="I327" s="137"/>
      <c r="J327" s="134"/>
      <c r="K327" s="144" t="s">
        <v>2391</v>
      </c>
      <c r="L327" s="137">
        <v>0.3</v>
      </c>
    </row>
    <row r="328" spans="2:12" x14ac:dyDescent="0.35">
      <c r="B328" s="144"/>
      <c r="C328" s="137"/>
      <c r="D328" s="134"/>
      <c r="E328" s="144"/>
      <c r="F328" s="137"/>
      <c r="G328" s="134"/>
      <c r="H328" s="144"/>
      <c r="I328" s="137"/>
      <c r="J328" s="134"/>
      <c r="K328" s="144" t="s">
        <v>2392</v>
      </c>
      <c r="L328" s="137">
        <v>0.4</v>
      </c>
    </row>
    <row r="329" spans="2:12" x14ac:dyDescent="0.35">
      <c r="B329" s="144"/>
      <c r="C329" s="137"/>
      <c r="D329" s="134"/>
      <c r="E329" s="144"/>
      <c r="F329" s="137"/>
      <c r="G329" s="134"/>
      <c r="H329" s="144"/>
      <c r="I329" s="137"/>
      <c r="J329" s="134"/>
      <c r="K329" s="144" t="s">
        <v>2487</v>
      </c>
      <c r="L329" s="137">
        <v>0.45</v>
      </c>
    </row>
    <row r="330" spans="2:12" x14ac:dyDescent="0.35">
      <c r="B330" s="144"/>
      <c r="C330" s="137"/>
      <c r="D330" s="134"/>
      <c r="E330" s="144"/>
      <c r="F330" s="137"/>
      <c r="G330" s="134"/>
      <c r="H330" s="144"/>
      <c r="I330" s="137"/>
      <c r="J330" s="134"/>
      <c r="K330" s="144" t="s">
        <v>1885</v>
      </c>
      <c r="L330" s="137">
        <v>0.35</v>
      </c>
    </row>
    <row r="331" spans="2:12" x14ac:dyDescent="0.35">
      <c r="B331" s="144"/>
      <c r="C331" s="137"/>
      <c r="D331" s="134"/>
      <c r="E331" s="144"/>
      <c r="F331" s="137"/>
      <c r="G331" s="134"/>
      <c r="H331" s="144"/>
      <c r="I331" s="137"/>
      <c r="J331" s="134"/>
      <c r="K331" s="144" t="s">
        <v>2503</v>
      </c>
      <c r="L331" s="137">
        <v>0.3</v>
      </c>
    </row>
    <row r="332" spans="2:12" x14ac:dyDescent="0.35">
      <c r="B332" s="144"/>
      <c r="C332" s="137"/>
      <c r="D332" s="134"/>
      <c r="E332" s="144"/>
      <c r="F332" s="137"/>
      <c r="G332" s="134"/>
      <c r="H332" s="144"/>
      <c r="I332" s="137"/>
      <c r="J332" s="134"/>
      <c r="K332" s="144" t="s">
        <v>2393</v>
      </c>
      <c r="L332" s="137">
        <v>0.15</v>
      </c>
    </row>
    <row r="333" spans="2:12" x14ac:dyDescent="0.35">
      <c r="B333" s="144"/>
      <c r="C333" s="137"/>
      <c r="D333" s="134"/>
      <c r="E333" s="144"/>
      <c r="F333" s="137"/>
      <c r="G333" s="134"/>
      <c r="H333" s="144"/>
      <c r="I333" s="137"/>
      <c r="J333" s="134"/>
      <c r="K333" s="144" t="s">
        <v>2394</v>
      </c>
      <c r="L333" s="137">
        <v>0.32500000000000001</v>
      </c>
    </row>
    <row r="334" spans="2:12" x14ac:dyDescent="0.35">
      <c r="B334" s="144"/>
      <c r="C334" s="137"/>
      <c r="D334" s="134"/>
      <c r="E334" s="144"/>
      <c r="F334" s="137"/>
      <c r="G334" s="134"/>
      <c r="H334" s="144"/>
      <c r="I334" s="137"/>
      <c r="J334" s="134"/>
      <c r="K334" s="144" t="s">
        <v>1604</v>
      </c>
      <c r="L334" s="137">
        <v>0.25</v>
      </c>
    </row>
    <row r="335" spans="2:12" x14ac:dyDescent="0.35">
      <c r="B335" s="144"/>
      <c r="C335" s="137"/>
      <c r="D335" s="134"/>
      <c r="E335" s="144"/>
      <c r="F335" s="137"/>
      <c r="G335" s="134"/>
      <c r="H335" s="144"/>
      <c r="I335" s="137"/>
      <c r="J335" s="134"/>
      <c r="K335" s="144" t="s">
        <v>2395</v>
      </c>
      <c r="L335" s="137">
        <v>0.15</v>
      </c>
    </row>
    <row r="336" spans="2:12" x14ac:dyDescent="0.35">
      <c r="B336" s="144"/>
      <c r="C336" s="137"/>
      <c r="D336" s="134"/>
      <c r="E336" s="144"/>
      <c r="F336" s="137"/>
      <c r="G336" s="134"/>
      <c r="H336" s="144"/>
      <c r="I336" s="137"/>
      <c r="J336" s="134"/>
      <c r="K336" s="144" t="s">
        <v>2396</v>
      </c>
      <c r="L336" s="137">
        <v>0.27500000000000002</v>
      </c>
    </row>
    <row r="337" spans="2:12" x14ac:dyDescent="0.35">
      <c r="B337" s="144"/>
      <c r="C337" s="137"/>
      <c r="D337" s="134"/>
      <c r="E337" s="144"/>
      <c r="F337" s="137"/>
      <c r="G337" s="134"/>
      <c r="H337" s="144"/>
      <c r="I337" s="137"/>
      <c r="J337" s="134"/>
      <c r="K337" s="144" t="s">
        <v>2500</v>
      </c>
      <c r="L337" s="137">
        <v>0.32500000000000001</v>
      </c>
    </row>
    <row r="338" spans="2:12" x14ac:dyDescent="0.35">
      <c r="B338" s="144"/>
      <c r="C338" s="137"/>
      <c r="D338" s="134"/>
      <c r="E338" s="144"/>
      <c r="F338" s="137"/>
      <c r="G338" s="134"/>
      <c r="H338" s="144"/>
      <c r="I338" s="137"/>
      <c r="J338" s="134"/>
      <c r="K338" s="144" t="s">
        <v>1612</v>
      </c>
      <c r="L338" s="137">
        <v>0.05</v>
      </c>
    </row>
    <row r="339" spans="2:12" x14ac:dyDescent="0.35">
      <c r="B339" s="144"/>
      <c r="C339" s="137"/>
      <c r="D339" s="134"/>
      <c r="E339" s="144"/>
      <c r="F339" s="137"/>
      <c r="G339" s="134"/>
      <c r="H339" s="144"/>
      <c r="I339" s="137"/>
      <c r="J339" s="134"/>
      <c r="K339" s="144" t="s">
        <v>1886</v>
      </c>
      <c r="L339" s="137">
        <v>0.15</v>
      </c>
    </row>
    <row r="340" spans="2:12" x14ac:dyDescent="0.35">
      <c r="B340" s="144"/>
      <c r="C340" s="137"/>
      <c r="D340" s="134"/>
      <c r="E340" s="144"/>
      <c r="F340" s="137"/>
      <c r="G340" s="134"/>
      <c r="H340" s="144"/>
      <c r="I340" s="137"/>
      <c r="J340" s="134"/>
      <c r="K340" s="144" t="s">
        <v>2495</v>
      </c>
      <c r="L340" s="137">
        <v>0.3</v>
      </c>
    </row>
    <row r="341" spans="2:12" x14ac:dyDescent="0.35">
      <c r="B341" s="144"/>
      <c r="C341" s="137"/>
      <c r="D341" s="134"/>
      <c r="E341" s="144"/>
      <c r="F341" s="137"/>
      <c r="G341" s="134"/>
      <c r="H341" s="144"/>
      <c r="I341" s="137"/>
      <c r="J341" s="134"/>
      <c r="K341" s="144" t="s">
        <v>2496</v>
      </c>
      <c r="L341" s="137">
        <v>0.3</v>
      </c>
    </row>
    <row r="342" spans="2:12" x14ac:dyDescent="0.35">
      <c r="B342" s="144"/>
      <c r="C342" s="137"/>
      <c r="D342" s="134"/>
      <c r="E342" s="144"/>
      <c r="F342" s="137"/>
      <c r="G342" s="134"/>
      <c r="H342" s="144"/>
      <c r="I342" s="137"/>
      <c r="J342" s="134"/>
      <c r="K342" s="144" t="s">
        <v>2497</v>
      </c>
      <c r="L342" s="137">
        <v>0.9</v>
      </c>
    </row>
    <row r="343" spans="2:12" x14ac:dyDescent="0.35">
      <c r="B343" s="144"/>
      <c r="C343" s="137"/>
      <c r="D343" s="134"/>
      <c r="E343" s="144"/>
      <c r="F343" s="137"/>
      <c r="G343" s="134"/>
      <c r="H343" s="144"/>
      <c r="I343" s="137"/>
      <c r="J343" s="134"/>
      <c r="K343" s="144"/>
      <c r="L343" s="137"/>
    </row>
    <row r="344" spans="2:12" x14ac:dyDescent="0.35">
      <c r="B344" s="144"/>
      <c r="C344" s="137"/>
      <c r="D344" s="134"/>
      <c r="E344" s="144"/>
      <c r="F344" s="137"/>
      <c r="G344" s="134"/>
      <c r="H344" s="144"/>
      <c r="I344" s="137"/>
      <c r="J344" s="134"/>
      <c r="K344" s="144"/>
      <c r="L344" s="137"/>
    </row>
    <row r="348" spans="2:12" ht="15.5" x14ac:dyDescent="0.35">
      <c r="B348" s="410" t="s">
        <v>1616</v>
      </c>
      <c r="C348" s="412"/>
      <c r="D348" s="411"/>
    </row>
    <row r="349" spans="2:12" ht="26.5" x14ac:dyDescent="0.35">
      <c r="B349" s="147" t="s">
        <v>1613</v>
      </c>
      <c r="C349" s="141" t="s">
        <v>1614</v>
      </c>
      <c r="D349" s="141" t="s">
        <v>1615</v>
      </c>
    </row>
    <row r="350" spans="2:12" x14ac:dyDescent="0.35">
      <c r="B350" s="146"/>
      <c r="C350" s="140"/>
      <c r="D350" s="137"/>
    </row>
    <row r="351" spans="2:12" x14ac:dyDescent="0.35">
      <c r="B351" s="146" t="s">
        <v>1729</v>
      </c>
      <c r="C351" s="140" t="s">
        <v>1728</v>
      </c>
      <c r="D351" s="137">
        <v>0</v>
      </c>
    </row>
    <row r="352" spans="2:12" x14ac:dyDescent="0.35">
      <c r="B352" s="146" t="s">
        <v>1730</v>
      </c>
      <c r="C352" s="140" t="s">
        <v>1728</v>
      </c>
      <c r="D352" s="137">
        <v>0</v>
      </c>
    </row>
    <row r="353" spans="2:4" x14ac:dyDescent="0.35">
      <c r="B353" s="146" t="s">
        <v>1731</v>
      </c>
      <c r="C353" s="140" t="s">
        <v>1728</v>
      </c>
      <c r="D353" s="137">
        <v>0</v>
      </c>
    </row>
    <row r="354" spans="2:4" x14ac:dyDescent="0.35">
      <c r="B354" s="146" t="s">
        <v>1732</v>
      </c>
      <c r="C354" s="140" t="s">
        <v>1728</v>
      </c>
      <c r="D354" s="137">
        <v>0</v>
      </c>
    </row>
    <row r="355" spans="2:4" x14ac:dyDescent="0.35">
      <c r="B355" s="146" t="s">
        <v>1757</v>
      </c>
      <c r="C355" s="140" t="s">
        <v>1715</v>
      </c>
      <c r="D355" s="137">
        <v>0</v>
      </c>
    </row>
    <row r="356" spans="2:4" x14ac:dyDescent="0.35">
      <c r="B356" s="146" t="s">
        <v>1758</v>
      </c>
      <c r="C356" s="140" t="s">
        <v>1728</v>
      </c>
      <c r="D356" s="137">
        <v>1</v>
      </c>
    </row>
    <row r="357" spans="2:4" x14ac:dyDescent="0.35">
      <c r="B357" s="146" t="s">
        <v>1759</v>
      </c>
      <c r="C357" s="140" t="s">
        <v>1715</v>
      </c>
      <c r="D357" s="137">
        <v>0</v>
      </c>
    </row>
    <row r="358" spans="2:4" x14ac:dyDescent="0.35">
      <c r="B358" s="146" t="s">
        <v>1760</v>
      </c>
      <c r="C358" s="140" t="s">
        <v>1728</v>
      </c>
      <c r="D358" s="137">
        <v>1</v>
      </c>
    </row>
    <row r="359" spans="2:4" x14ac:dyDescent="0.35">
      <c r="B359" s="146" t="s">
        <v>1733</v>
      </c>
      <c r="C359" s="140" t="s">
        <v>1728</v>
      </c>
      <c r="D359" s="137">
        <v>1</v>
      </c>
    </row>
    <row r="360" spans="2:4" x14ac:dyDescent="0.35">
      <c r="B360" s="146" t="s">
        <v>1734</v>
      </c>
      <c r="C360" s="140" t="s">
        <v>1728</v>
      </c>
      <c r="D360" s="137">
        <v>1</v>
      </c>
    </row>
    <row r="361" spans="2:4" x14ac:dyDescent="0.35">
      <c r="B361" s="146" t="s">
        <v>1735</v>
      </c>
      <c r="C361" s="140" t="s">
        <v>1728</v>
      </c>
      <c r="D361" s="137">
        <v>1</v>
      </c>
    </row>
    <row r="362" spans="2:4" x14ac:dyDescent="0.35">
      <c r="B362" s="146" t="s">
        <v>1736</v>
      </c>
      <c r="C362" s="140" t="s">
        <v>1728</v>
      </c>
      <c r="D362" s="137">
        <v>1</v>
      </c>
    </row>
    <row r="363" spans="2:4" x14ac:dyDescent="0.35">
      <c r="B363" s="146" t="s">
        <v>1737</v>
      </c>
      <c r="C363" s="140" t="s">
        <v>1728</v>
      </c>
      <c r="D363" s="137">
        <v>1</v>
      </c>
    </row>
    <row r="364" spans="2:4" x14ac:dyDescent="0.35">
      <c r="B364" s="146" t="s">
        <v>1738</v>
      </c>
      <c r="C364" s="140" t="s">
        <v>1715</v>
      </c>
      <c r="D364" s="137">
        <v>0</v>
      </c>
    </row>
    <row r="365" spans="2:4" x14ac:dyDescent="0.35">
      <c r="B365" s="146" t="s">
        <v>1739</v>
      </c>
      <c r="C365" s="140" t="s">
        <v>1728</v>
      </c>
      <c r="D365" s="137">
        <v>1</v>
      </c>
    </row>
    <row r="366" spans="2:4" x14ac:dyDescent="0.35">
      <c r="B366" s="146" t="s">
        <v>1740</v>
      </c>
      <c r="C366" s="140" t="s">
        <v>1715</v>
      </c>
      <c r="D366" s="137">
        <v>0</v>
      </c>
    </row>
    <row r="367" spans="2:4" x14ac:dyDescent="0.35">
      <c r="B367" s="146" t="s">
        <v>1741</v>
      </c>
      <c r="C367" s="140" t="s">
        <v>1728</v>
      </c>
      <c r="D367" s="137">
        <v>1</v>
      </c>
    </row>
    <row r="368" spans="2:4" x14ac:dyDescent="0.35">
      <c r="B368" s="146" t="s">
        <v>1742</v>
      </c>
      <c r="C368" s="140" t="s">
        <v>1728</v>
      </c>
      <c r="D368" s="137">
        <v>1</v>
      </c>
    </row>
    <row r="369" spans="2:4" x14ac:dyDescent="0.35">
      <c r="B369" s="146" t="s">
        <v>1743</v>
      </c>
      <c r="C369" s="140" t="s">
        <v>1728</v>
      </c>
      <c r="D369" s="137">
        <v>1</v>
      </c>
    </row>
    <row r="370" spans="2:4" x14ac:dyDescent="0.35">
      <c r="B370" s="146" t="s">
        <v>1744</v>
      </c>
      <c r="C370" s="140" t="s">
        <v>1728</v>
      </c>
      <c r="D370" s="137">
        <v>1</v>
      </c>
    </row>
    <row r="371" spans="2:4" x14ac:dyDescent="0.35">
      <c r="B371" s="146" t="s">
        <v>1745</v>
      </c>
      <c r="C371" s="140" t="s">
        <v>1728</v>
      </c>
      <c r="D371" s="137">
        <v>0</v>
      </c>
    </row>
    <row r="372" spans="2:4" x14ac:dyDescent="0.35">
      <c r="B372" s="146" t="s">
        <v>1746</v>
      </c>
      <c r="C372" s="140" t="s">
        <v>1728</v>
      </c>
      <c r="D372" s="137">
        <v>0</v>
      </c>
    </row>
    <row r="373" spans="2:4" x14ac:dyDescent="0.35">
      <c r="B373" s="146" t="s">
        <v>1747</v>
      </c>
      <c r="C373" s="140" t="s">
        <v>1728</v>
      </c>
      <c r="D373" s="137">
        <v>0</v>
      </c>
    </row>
    <row r="374" spans="2:4" x14ac:dyDescent="0.35">
      <c r="B374" s="146" t="s">
        <v>1748</v>
      </c>
      <c r="C374" s="140" t="s">
        <v>1728</v>
      </c>
      <c r="D374" s="137">
        <v>0</v>
      </c>
    </row>
    <row r="375" spans="2:4" x14ac:dyDescent="0.35">
      <c r="B375" s="146" t="s">
        <v>1749</v>
      </c>
      <c r="C375" s="140" t="s">
        <v>1728</v>
      </c>
      <c r="D375" s="137">
        <v>0</v>
      </c>
    </row>
    <row r="376" spans="2:4" x14ac:dyDescent="0.35">
      <c r="B376" s="146" t="s">
        <v>1750</v>
      </c>
      <c r="C376" s="140" t="s">
        <v>1715</v>
      </c>
      <c r="D376" s="137">
        <v>0</v>
      </c>
    </row>
    <row r="377" spans="2:4" x14ac:dyDescent="0.35">
      <c r="B377" s="146" t="s">
        <v>1751</v>
      </c>
      <c r="C377" s="140" t="s">
        <v>1728</v>
      </c>
      <c r="D377" s="137">
        <v>0</v>
      </c>
    </row>
    <row r="378" spans="2:4" x14ac:dyDescent="0.35">
      <c r="B378" s="146" t="s">
        <v>1752</v>
      </c>
      <c r="C378" s="140" t="s">
        <v>1715</v>
      </c>
      <c r="D378" s="137">
        <v>0</v>
      </c>
    </row>
    <row r="379" spans="2:4" x14ac:dyDescent="0.35">
      <c r="B379" s="146" t="s">
        <v>1753</v>
      </c>
      <c r="C379" s="140" t="s">
        <v>1715</v>
      </c>
      <c r="D379" s="137">
        <v>0</v>
      </c>
    </row>
    <row r="380" spans="2:4" x14ac:dyDescent="0.35">
      <c r="B380" s="146" t="s">
        <v>1754</v>
      </c>
      <c r="C380" s="140" t="s">
        <v>1728</v>
      </c>
      <c r="D380" s="137">
        <v>0</v>
      </c>
    </row>
    <row r="381" spans="2:4" x14ac:dyDescent="0.35">
      <c r="B381" s="146" t="s">
        <v>1755</v>
      </c>
      <c r="C381" s="140" t="s">
        <v>1728</v>
      </c>
      <c r="D381" s="137">
        <v>0</v>
      </c>
    </row>
    <row r="382" spans="2:4" x14ac:dyDescent="0.35">
      <c r="B382" s="146" t="s">
        <v>1756</v>
      </c>
      <c r="C382" s="140" t="s">
        <v>1728</v>
      </c>
      <c r="D382" s="137">
        <v>0</v>
      </c>
    </row>
    <row r="383" spans="2:4" x14ac:dyDescent="0.35">
      <c r="B383" s="146"/>
      <c r="C383" s="140"/>
      <c r="D383" s="137"/>
    </row>
    <row r="384" spans="2:4" x14ac:dyDescent="0.35">
      <c r="B384" s="146"/>
      <c r="C384" s="140"/>
      <c r="D384" s="137"/>
    </row>
    <row r="385" spans="2:4" x14ac:dyDescent="0.35">
      <c r="B385" s="146"/>
      <c r="C385" s="140"/>
      <c r="D385" s="137"/>
    </row>
    <row r="386" spans="2:4" x14ac:dyDescent="0.35">
      <c r="B386" s="146"/>
      <c r="C386" s="140"/>
      <c r="D386" s="137"/>
    </row>
    <row r="387" spans="2:4" x14ac:dyDescent="0.35">
      <c r="B387" s="146"/>
      <c r="C387" s="140"/>
      <c r="D387" s="137"/>
    </row>
    <row r="388" spans="2:4" x14ac:dyDescent="0.35">
      <c r="B388" s="146"/>
      <c r="C388" s="140"/>
      <c r="D388" s="137"/>
    </row>
    <row r="389" spans="2:4" x14ac:dyDescent="0.35">
      <c r="B389" s="146"/>
      <c r="C389" s="140"/>
      <c r="D389" s="137"/>
    </row>
  </sheetData>
  <sortState xmlns:xlrd2="http://schemas.microsoft.com/office/spreadsheetml/2017/richdata2" ref="E202:F219">
    <sortCondition ref="E202:E219"/>
  </sortState>
  <mergeCells count="44">
    <mergeCell ref="B105:P105"/>
    <mergeCell ref="B151:P151"/>
    <mergeCell ref="B1:L1"/>
    <mergeCell ref="B35:L35"/>
    <mergeCell ref="B81:L81"/>
    <mergeCell ref="J106:L106"/>
    <mergeCell ref="N106:P106"/>
    <mergeCell ref="B82:C82"/>
    <mergeCell ref="E82:F82"/>
    <mergeCell ref="H82:I82"/>
    <mergeCell ref="K82:L82"/>
    <mergeCell ref="B106:D106"/>
    <mergeCell ref="F106:H106"/>
    <mergeCell ref="B2:C2"/>
    <mergeCell ref="E2:F2"/>
    <mergeCell ref="H2:I2"/>
    <mergeCell ref="B348:D348"/>
    <mergeCell ref="B303:L303"/>
    <mergeCell ref="B227:L227"/>
    <mergeCell ref="B198:L198"/>
    <mergeCell ref="B228:C228"/>
    <mergeCell ref="E228:F228"/>
    <mergeCell ref="H228:I228"/>
    <mergeCell ref="K228:L228"/>
    <mergeCell ref="B304:C304"/>
    <mergeCell ref="E304:F304"/>
    <mergeCell ref="H304:I304"/>
    <mergeCell ref="K304:L304"/>
    <mergeCell ref="B152:D152"/>
    <mergeCell ref="F152:H152"/>
    <mergeCell ref="J152:L152"/>
    <mergeCell ref="N152:P152"/>
    <mergeCell ref="B199:C199"/>
    <mergeCell ref="E199:F199"/>
    <mergeCell ref="H199:I199"/>
    <mergeCell ref="K199:L199"/>
    <mergeCell ref="U2:AE2"/>
    <mergeCell ref="U29:AC29"/>
    <mergeCell ref="Q2:R2"/>
    <mergeCell ref="K2:L2"/>
    <mergeCell ref="B36:C36"/>
    <mergeCell ref="E36:F36"/>
    <mergeCell ref="H36:I36"/>
    <mergeCell ref="K36:L36"/>
  </mergeCells>
  <pageMargins left="0.7" right="0.7" top="0.75" bottom="0.75" header="0.3" footer="0.3"/>
  <pageSetup paperSize="9" orientation="portrait" r:id="rId1"/>
  <rowBreaks count="4" manualBreakCount="4">
    <brk id="33" max="12" man="1"/>
    <brk id="78" max="12" man="1"/>
    <brk id="148" max="12" man="1"/>
    <brk id="222"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980"/>
  <sheetViews>
    <sheetView topLeftCell="M1" zoomScaleNormal="100" workbookViewId="0">
      <selection activeCell="N139" sqref="N139"/>
    </sheetView>
  </sheetViews>
  <sheetFormatPr baseColWidth="10" defaultColWidth="9.1796875" defaultRowHeight="14.5" x14ac:dyDescent="0.35"/>
  <cols>
    <col min="1" max="1" width="9.1796875" style="5"/>
    <col min="2" max="3" width="9.1796875" style="3"/>
    <col min="4" max="4" width="11.1796875" style="3" bestFit="1" customWidth="1"/>
    <col min="5" max="5" width="11.7265625" style="3" bestFit="1" customWidth="1"/>
    <col min="6" max="6" width="11.26953125" bestFit="1" customWidth="1"/>
    <col min="7" max="7" width="11.7265625" bestFit="1" customWidth="1"/>
    <col min="10" max="11" width="9.1796875" style="5"/>
    <col min="14" max="14" width="8.7265625" style="3"/>
    <col min="15" max="15" width="9.1796875" style="3"/>
    <col min="17" max="18" width="9.1796875" style="3"/>
    <col min="20" max="20" width="8.7265625" style="3"/>
    <col min="21" max="21" width="9.1796875" style="3"/>
    <col min="23" max="23" width="8.7265625" style="3"/>
    <col min="24" max="24" width="9.1796875" style="3"/>
    <col min="26" max="26" width="8.7265625" style="3"/>
    <col min="27" max="27" width="11.1796875" bestFit="1" customWidth="1"/>
    <col min="28" max="28" width="11.7265625" bestFit="1" customWidth="1"/>
    <col min="29" max="34" width="11.7265625" customWidth="1"/>
  </cols>
  <sheetData>
    <row r="1" spans="1:39" x14ac:dyDescent="0.35">
      <c r="A1" s="6"/>
      <c r="B1" s="403" t="e">
        <f>INDEX(Data!$V$3:$V$38,MATCH('Coach Card'!$BU$9,Data!$G$3:$G$38,0))</f>
        <v>#N/A</v>
      </c>
      <c r="C1" s="403"/>
      <c r="D1" s="403" t="e">
        <f>IF('Coach Card'!$F$8&lt;&gt;"Open Team Acrobatic",INDEX(Data!$V$3:$V$38,MATCH('Coach Card'!$BU$9,Data!$G$3:$G$38,0)),"")</f>
        <v>#N/A</v>
      </c>
      <c r="E1" s="403"/>
      <c r="F1" s="403" t="s">
        <v>1970</v>
      </c>
      <c r="G1" s="403"/>
      <c r="J1" s="6"/>
      <c r="K1" s="6"/>
      <c r="L1" s="1"/>
      <c r="M1" s="403" t="s">
        <v>70</v>
      </c>
      <c r="N1" s="403"/>
      <c r="O1" s="1"/>
      <c r="P1" s="403" t="s">
        <v>2450</v>
      </c>
      <c r="Q1" s="403"/>
      <c r="R1" s="1"/>
      <c r="S1" s="403" t="s">
        <v>71</v>
      </c>
      <c r="T1" s="403"/>
      <c r="U1" s="1"/>
      <c r="V1" s="403" t="s">
        <v>72</v>
      </c>
      <c r="W1" s="403"/>
      <c r="X1" s="1"/>
      <c r="Y1" s="403" t="s">
        <v>73</v>
      </c>
      <c r="Z1" s="403"/>
      <c r="AA1" s="403" t="s">
        <v>70</v>
      </c>
      <c r="AB1" s="403"/>
      <c r="AC1" s="403" t="s">
        <v>71</v>
      </c>
      <c r="AD1" s="403"/>
      <c r="AE1" s="403" t="s">
        <v>72</v>
      </c>
      <c r="AF1" s="403"/>
      <c r="AG1" s="403" t="s">
        <v>73</v>
      </c>
      <c r="AH1" s="403"/>
    </row>
    <row r="2" spans="1:39" x14ac:dyDescent="0.35">
      <c r="A2" s="6" t="s">
        <v>1848</v>
      </c>
      <c r="B2" s="3" t="s">
        <v>63</v>
      </c>
      <c r="C2" s="3" t="s">
        <v>64</v>
      </c>
      <c r="D2" s="1" t="s">
        <v>65</v>
      </c>
      <c r="E2" s="1" t="s">
        <v>66</v>
      </c>
      <c r="F2" s="1" t="s">
        <v>65</v>
      </c>
      <c r="G2" s="1" t="s">
        <v>66</v>
      </c>
      <c r="L2" s="1" t="s">
        <v>1848</v>
      </c>
      <c r="M2" t="s">
        <v>63</v>
      </c>
      <c r="N2" s="3" t="s">
        <v>64</v>
      </c>
      <c r="O2" s="1" t="s">
        <v>1848</v>
      </c>
      <c r="P2" t="s">
        <v>63</v>
      </c>
      <c r="Q2" s="3" t="s">
        <v>64</v>
      </c>
      <c r="R2" s="1" t="s">
        <v>1848</v>
      </c>
      <c r="S2" t="s">
        <v>63</v>
      </c>
      <c r="T2" s="3" t="s">
        <v>64</v>
      </c>
      <c r="U2" s="1" t="s">
        <v>1848</v>
      </c>
      <c r="V2" t="s">
        <v>63</v>
      </c>
      <c r="W2" s="3" t="s">
        <v>64</v>
      </c>
      <c r="X2" s="1" t="s">
        <v>1848</v>
      </c>
      <c r="Y2" t="s">
        <v>63</v>
      </c>
      <c r="Z2" s="3" t="s">
        <v>64</v>
      </c>
      <c r="AA2" t="s">
        <v>65</v>
      </c>
      <c r="AB2" t="s">
        <v>66</v>
      </c>
      <c r="AC2" t="s">
        <v>65</v>
      </c>
      <c r="AD2" t="s">
        <v>66</v>
      </c>
      <c r="AE2" t="s">
        <v>65</v>
      </c>
      <c r="AF2" t="s">
        <v>66</v>
      </c>
      <c r="AG2" t="s">
        <v>65</v>
      </c>
      <c r="AH2" t="s">
        <v>66</v>
      </c>
      <c r="AK2" t="s">
        <v>2258</v>
      </c>
      <c r="AL2" t="s">
        <v>2259</v>
      </c>
      <c r="AM2" t="s">
        <v>2260</v>
      </c>
    </row>
    <row r="3" spans="1:39" x14ac:dyDescent="0.35">
      <c r="D3" s="1"/>
      <c r="E3" s="1"/>
      <c r="L3" s="1" t="s">
        <v>1765</v>
      </c>
      <c r="M3" t="s">
        <v>1632</v>
      </c>
      <c r="N3" s="3">
        <v>0.3</v>
      </c>
      <c r="O3" s="1" t="s">
        <v>1765</v>
      </c>
      <c r="P3" t="s">
        <v>1632</v>
      </c>
      <c r="Q3" s="3">
        <v>0.3</v>
      </c>
      <c r="R3" s="1" t="s">
        <v>1765</v>
      </c>
      <c r="S3" t="s">
        <v>1632</v>
      </c>
      <c r="T3" s="3">
        <v>0.3</v>
      </c>
      <c r="U3" s="1" t="s">
        <v>1765</v>
      </c>
      <c r="V3" t="s">
        <v>1632</v>
      </c>
      <c r="W3" s="3">
        <v>0.3</v>
      </c>
      <c r="X3" s="1" t="s">
        <v>1765</v>
      </c>
      <c r="Y3" t="s">
        <v>1632</v>
      </c>
      <c r="Z3" s="3">
        <v>0.3</v>
      </c>
      <c r="AB3" s="3"/>
      <c r="AD3" s="3"/>
      <c r="AF3" s="3"/>
      <c r="AG3" t="s">
        <v>83</v>
      </c>
      <c r="AH3" s="3">
        <v>0.2</v>
      </c>
      <c r="AK3" t="s">
        <v>1632</v>
      </c>
      <c r="AL3" t="s">
        <v>1632</v>
      </c>
      <c r="AM3">
        <v>1</v>
      </c>
    </row>
    <row r="4" spans="1:39" x14ac:dyDescent="0.35">
      <c r="A4" s="6" t="e">
        <f>IF('Coach Card'!$T$5="",IF($B$1="Solo",IF(L3="","",L3),IF($B$1="MSolo",IF(O3="","",O3),IF($B$1="Duet",IF(R3="","",R3),IF($B$1="Mixed",IF(U3="","",U3),IF(X3="","",X3))))),IF($B$1="Solo",IF(L503="","",L503),IF($B$1="MSolo",IF(L503="","",L503),IF($B$1="Duet",IF(O503="","",O503),IF($B$1="Mixed",IF(R503="","",R503),IF(U503="","",U503))))))</f>
        <v>#N/A</v>
      </c>
      <c r="B4" s="3" t="e">
        <f>IF('Coach Card'!$T$5="",IF($B$1="Solo",IF(M3="","",M3),IF($B$1="MSolo",IF(P3="","",P3),IF($B$1="Duet",IF(S3="","",S3),IF($B$1="Mixed",IF(V3="","",V3),IF(Y3="","",Y3))))),IF($B$1="Solo",IF(M503="","",M503),IF($B$1="MSolo",IF(M503="","",M503),IF($B$1="Duet",IF(P503="","",P503),IF($B$1="Mixed",IF(S503="","",S503),IF(V503="","",V503))))))</f>
        <v>#N/A</v>
      </c>
      <c r="C4" s="3" t="e">
        <f>IF('Coach Card'!$T$5="",IF($B$1="Solo",IF(N3="","",N3),IF($B$1="MSolo",IF(Q3="","",Q3),IF($B$1="Duet",IF(T3="","",T3),IF($B$1="Mixed",IF(W3="","",W3),IF(Z3="","",Z3))))),IF($B$1="Solo",IF(N503="","",N503),IF($B$1="MSolo",IF(N503="","",N503),IF($B$1="Duet",IF(Q503="","",Q503),IF($B$1="Mixed",IF(T503="","",T503),IF(W503="","",W503))))))</f>
        <v>#N/A</v>
      </c>
      <c r="D4" s="3" t="e">
        <f>IF('Coach Card'!$T$5="",IF($D$1="Team",IF(AG3="","",AG3),""),IF($D$1="Team",IF(AD503="","",AD503),""))</f>
        <v>#N/A</v>
      </c>
      <c r="E4" s="3" t="e">
        <f>IF('Coach Card'!$T$5="",IF($D$1="Team",IF(AH3="","",AH3),""),IF($D$1="Team",IF(AE503="","",AE503),""))</f>
        <v>#N/A</v>
      </c>
      <c r="F4" t="s">
        <v>1632</v>
      </c>
      <c r="G4">
        <v>0.3</v>
      </c>
      <c r="L4" s="1" t="s">
        <v>1765</v>
      </c>
      <c r="M4" t="s">
        <v>52</v>
      </c>
      <c r="N4" s="3">
        <v>0.45</v>
      </c>
      <c r="O4" s="1" t="s">
        <v>1765</v>
      </c>
      <c r="P4" t="s">
        <v>52</v>
      </c>
      <c r="Q4" s="3">
        <v>0.45</v>
      </c>
      <c r="R4" s="1" t="s">
        <v>1765</v>
      </c>
      <c r="S4" t="s">
        <v>52</v>
      </c>
      <c r="T4" s="3">
        <v>0.45</v>
      </c>
      <c r="U4" s="1" t="s">
        <v>1765</v>
      </c>
      <c r="V4" t="s">
        <v>52</v>
      </c>
      <c r="W4" s="3">
        <v>0.45</v>
      </c>
      <c r="X4" s="1" t="s">
        <v>1765</v>
      </c>
      <c r="Y4" t="s">
        <v>52</v>
      </c>
      <c r="Z4" s="3">
        <v>0.45</v>
      </c>
      <c r="AB4" s="3"/>
      <c r="AD4" s="3"/>
      <c r="AF4" s="3"/>
      <c r="AG4" t="s">
        <v>84</v>
      </c>
      <c r="AH4" s="3">
        <v>0.4</v>
      </c>
      <c r="AK4" t="s">
        <v>52</v>
      </c>
      <c r="AL4" t="s">
        <v>52</v>
      </c>
      <c r="AM4">
        <v>1</v>
      </c>
    </row>
    <row r="5" spans="1:39" x14ac:dyDescent="0.35">
      <c r="A5" s="6" t="e">
        <f>IF('Coach Card'!$T$5="",IF($B$1="Solo",IF(L4="","",L4),IF($B$1="MSolo",IF(O4="","",O4),IF($B$1="Duet",IF(R4="","",R4),IF($B$1="Mixed",IF(U4="","",U4),IF(X4="","",X4))))),IF($B$1="Solo",IF(L504="","",L504),IF($B$1="MSolo",IF(L504="","",L504),IF($B$1="Duet",IF(O504="","",O504),IF($B$1="Mixed",IF(R504="","",R504),IF(U504="","",U504))))))</f>
        <v>#N/A</v>
      </c>
      <c r="B5" s="3" t="e">
        <f>IF('Coach Card'!$T$5="",IF($B$1="Solo",IF(M4="","",M4),IF($B$1="MSolo",IF(P4="","",P4),IF($B$1="Duet",IF(S4="","",S4),IF($B$1="Mixed",IF(V4="","",V4),IF(Y4="","",Y4))))),IF($B$1="Solo",IF(M504="","",M504),IF($B$1="MSolo",IF(M504="","",M504),IF($B$1="Duet",IF(P504="","",P504),IF($B$1="Mixed",IF(S504="","",S504),IF(V504="","",V504))))))</f>
        <v>#N/A</v>
      </c>
      <c r="C5" s="3" t="e">
        <f>IF('Coach Card'!$T$5="",IF($B$1="Solo",IF(N4="","",N4),IF($B$1="MSolo",IF(Q4="","",Q4),IF($B$1="Duet",IF(T4="","",T4),IF($B$1="Mixed",IF(W4="","",W4),IF(Z4="","",Z4))))),IF($B$1="Solo",IF(N504="","",N504),IF($B$1="MSolo",IF(N504="","",N504),IF($B$1="Duet",IF(Q504="","",Q504),IF($B$1="Mixed",IF(T504="","",T504),IF(W504="","",W504))))))</f>
        <v>#N/A</v>
      </c>
      <c r="D5" s="3" t="e">
        <f>IF('Coach Card'!$T$5="",IF($D$1="Team",IF(AG4="","",AG4),""),IF($D$1="Team",IF(AD504="","",AD504),""))</f>
        <v>#N/A</v>
      </c>
      <c r="E5" s="3" t="e">
        <f>IF('Coach Card'!$T$5="",IF($D$1="Team",IF(AH4="","",AH4),""),IF($D$1="Team",IF(AE504="","",AE504),""))</f>
        <v>#N/A</v>
      </c>
      <c r="F5" t="s">
        <v>52</v>
      </c>
      <c r="G5">
        <v>0.45</v>
      </c>
      <c r="L5" s="1" t="s">
        <v>1765</v>
      </c>
      <c r="M5" t="s">
        <v>1778</v>
      </c>
      <c r="N5" s="3">
        <v>0.5</v>
      </c>
      <c r="O5" s="1" t="s">
        <v>1765</v>
      </c>
      <c r="P5" t="s">
        <v>1778</v>
      </c>
      <c r="Q5" s="3">
        <v>0.5</v>
      </c>
      <c r="R5" s="1" t="s">
        <v>1765</v>
      </c>
      <c r="S5" t="s">
        <v>1778</v>
      </c>
      <c r="T5" s="3">
        <v>0.5</v>
      </c>
      <c r="U5" s="1" t="s">
        <v>1765</v>
      </c>
      <c r="V5" t="s">
        <v>1778</v>
      </c>
      <c r="W5" s="3">
        <v>0.5</v>
      </c>
      <c r="X5" s="1" t="s">
        <v>1765</v>
      </c>
      <c r="Y5" t="s">
        <v>1778</v>
      </c>
      <c r="Z5" s="3">
        <v>0.5</v>
      </c>
      <c r="AB5" s="3"/>
      <c r="AD5" s="3"/>
      <c r="AF5" s="3"/>
      <c r="AG5" t="s">
        <v>85</v>
      </c>
      <c r="AH5" s="3">
        <v>0.6</v>
      </c>
      <c r="AK5" t="s">
        <v>1778</v>
      </c>
      <c r="AL5" t="s">
        <v>1778</v>
      </c>
      <c r="AM5">
        <v>1</v>
      </c>
    </row>
    <row r="6" spans="1:39" x14ac:dyDescent="0.35">
      <c r="A6" s="6" t="e">
        <f>IF('Coach Card'!$T$5="",IF($B$1="Solo",IF(L5="","",L5),IF($B$1="MSolo",IF(O5="","",O5),IF($B$1="Duet",IF(R5="","",R5),IF($B$1="Mixed",IF(U5="","",U5),IF(X5="","",X5))))),IF($B$1="Solo",IF(L505="","",L505),IF($B$1="MSolo",IF(L505="","",L505),IF($B$1="Duet",IF(O505="","",O505),IF($B$1="Mixed",IF(R505="","",R505),IF(U505="","",U505))))))</f>
        <v>#N/A</v>
      </c>
      <c r="B6" s="3" t="e">
        <f>IF('Coach Card'!$T$5="",IF($B$1="Solo",IF(M5="","",M5),IF($B$1="MSolo",IF(P5="","",P5),IF($B$1="Duet",IF(S5="","",S5),IF($B$1="Mixed",IF(V5="","",V5),IF(Y5="","",Y5))))),IF($B$1="Solo",IF(M505="","",M505),IF($B$1="MSolo",IF(M505="","",M505),IF($B$1="Duet",IF(P505="","",P505),IF($B$1="Mixed",IF(S505="","",S505),IF(V505="","",V505))))))</f>
        <v>#N/A</v>
      </c>
      <c r="C6" s="3" t="e">
        <f>IF('Coach Card'!$T$5="",IF($B$1="Solo",IF(N5="","",N5),IF($B$1="MSolo",IF(Q5="","",Q5),IF($B$1="Duet",IF(T5="","",T5),IF($B$1="Mixed",IF(W5="","",W5),IF(Z5="","",Z5))))),IF($B$1="Solo",IF(N505="","",N505),IF($B$1="MSolo",IF(N505="","",N505),IF($B$1="Duet",IF(Q505="","",Q505),IF($B$1="Mixed",IF(T505="","",T505),IF(W505="","",W505))))))</f>
        <v>#N/A</v>
      </c>
      <c r="D6" s="3" t="e">
        <f>IF('Coach Card'!$T$5="",IF($D$1="Team",IF(AG5="","",AG5),""),IF($D$1="Team",IF(AD505="","",AD505),""))</f>
        <v>#N/A</v>
      </c>
      <c r="E6" s="3" t="e">
        <f>IF('Coach Card'!$T$5="",IF($D$1="Team",IF(AH5="","",AH5),""),IF($D$1="Team",IF(AE505="","",AE505),""))</f>
        <v>#N/A</v>
      </c>
      <c r="F6" t="s">
        <v>1778</v>
      </c>
      <c r="G6">
        <v>0.5</v>
      </c>
      <c r="L6" s="1" t="s">
        <v>1765</v>
      </c>
      <c r="M6" t="s">
        <v>1779</v>
      </c>
      <c r="N6" s="3">
        <v>0.5</v>
      </c>
      <c r="O6" s="1" t="s">
        <v>1765</v>
      </c>
      <c r="P6" t="s">
        <v>1779</v>
      </c>
      <c r="Q6" s="3">
        <v>0.5</v>
      </c>
      <c r="R6" s="1" t="s">
        <v>1765</v>
      </c>
      <c r="S6" t="s">
        <v>1779</v>
      </c>
      <c r="T6" s="3">
        <v>0.5</v>
      </c>
      <c r="U6" s="1" t="s">
        <v>1765</v>
      </c>
      <c r="V6" t="s">
        <v>1779</v>
      </c>
      <c r="W6" s="3">
        <v>0.5</v>
      </c>
      <c r="X6" s="1" t="s">
        <v>1765</v>
      </c>
      <c r="Y6" t="s">
        <v>1779</v>
      </c>
      <c r="Z6" s="3">
        <v>0.5</v>
      </c>
      <c r="AB6" s="3"/>
      <c r="AD6" s="3"/>
      <c r="AF6" s="3"/>
      <c r="AG6" t="s">
        <v>86</v>
      </c>
      <c r="AH6" s="3">
        <v>0.8</v>
      </c>
      <c r="AK6" t="s">
        <v>1779</v>
      </c>
      <c r="AL6" t="s">
        <v>1779</v>
      </c>
      <c r="AM6">
        <v>1</v>
      </c>
    </row>
    <row r="7" spans="1:39" x14ac:dyDescent="0.35">
      <c r="A7" s="6" t="e">
        <f>IF('Coach Card'!$T$5="",IF($B$1="Solo",IF(L6="","",L6),IF($B$1="MSolo",IF(O6="","",O6),IF($B$1="Duet",IF(R6="","",R6),IF($B$1="Mixed",IF(U6="","",U6),IF(X6="","",X6))))),IF($B$1="Solo",IF(L506="","",L506),IF($B$1="MSolo",IF(L506="","",L506),IF($B$1="Duet",IF(O506="","",O506),IF($B$1="Mixed",IF(R506="","",R506),IF(U506="","",U506))))))</f>
        <v>#N/A</v>
      </c>
      <c r="B7" s="3" t="e">
        <f>IF('Coach Card'!$T$5="",IF($B$1="Solo",IF(M6="","",M6),IF($B$1="MSolo",IF(P6="","",P6),IF($B$1="Duet",IF(S6="","",S6),IF($B$1="Mixed",IF(V6="","",V6),IF(Y6="","",Y6))))),IF($B$1="Solo",IF(M506="","",M506),IF($B$1="MSolo",IF(M506="","",M506),IF($B$1="Duet",IF(P506="","",P506),IF($B$1="Mixed",IF(S506="","",S506),IF(V506="","",V506))))))</f>
        <v>#N/A</v>
      </c>
      <c r="C7" s="3" t="e">
        <f>IF('Coach Card'!$T$5="",IF($B$1="Solo",IF(N6="","",N6),IF($B$1="MSolo",IF(Q6="","",Q6),IF($B$1="Duet",IF(T6="","",T6),IF($B$1="Mixed",IF(W6="","",W6),IF(Z6="","",Z6))))),IF($B$1="Solo",IF(N506="","",N506),IF($B$1="MSolo",IF(N506="","",N506),IF($B$1="Duet",IF(Q506="","",Q506),IF($B$1="Mixed",IF(T506="","",T506),IF(W506="","",W506))))))</f>
        <v>#N/A</v>
      </c>
      <c r="D7" s="3" t="e">
        <f>IF('Coach Card'!$T$5="",IF($D$1="Team",IF(AG6="","",AG6),""),IF($D$1="Team",IF(AD506="","",AD506),""))</f>
        <v>#N/A</v>
      </c>
      <c r="E7" s="3" t="e">
        <f>IF('Coach Card'!$T$5="",IF($D$1="Team",IF(AH6="","",AH6),""),IF($D$1="Team",IF(AE506="","",AE506),""))</f>
        <v>#N/A</v>
      </c>
      <c r="F7" t="s">
        <v>1779</v>
      </c>
      <c r="G7">
        <v>0.5</v>
      </c>
      <c r="L7" s="1" t="s">
        <v>1765</v>
      </c>
      <c r="M7" t="s">
        <v>1780</v>
      </c>
      <c r="N7" s="3">
        <v>0.65</v>
      </c>
      <c r="O7" s="1" t="s">
        <v>1765</v>
      </c>
      <c r="P7" t="s">
        <v>1780</v>
      </c>
      <c r="Q7" s="3">
        <v>0.65</v>
      </c>
      <c r="R7" s="1" t="s">
        <v>1765</v>
      </c>
      <c r="S7" t="s">
        <v>1780</v>
      </c>
      <c r="T7" s="3">
        <v>0.65</v>
      </c>
      <c r="U7" s="1" t="s">
        <v>1765</v>
      </c>
      <c r="V7" t="s">
        <v>1780</v>
      </c>
      <c r="W7" s="3">
        <v>0.65</v>
      </c>
      <c r="X7" s="1" t="s">
        <v>1765</v>
      </c>
      <c r="Y7" t="s">
        <v>1780</v>
      </c>
      <c r="Z7" s="3">
        <v>0.65</v>
      </c>
      <c r="AB7" s="3"/>
      <c r="AD7" s="3"/>
      <c r="AF7" s="3"/>
      <c r="AG7" t="s">
        <v>87</v>
      </c>
      <c r="AH7" s="3">
        <v>1</v>
      </c>
      <c r="AK7" t="s">
        <v>1780</v>
      </c>
      <c r="AL7" t="s">
        <v>1780</v>
      </c>
      <c r="AM7">
        <v>1</v>
      </c>
    </row>
    <row r="8" spans="1:39" x14ac:dyDescent="0.35">
      <c r="A8" s="6" t="e">
        <f>IF('Coach Card'!$T$5="",IF($B$1="Solo",IF(L7="","",L7),IF($B$1="MSolo",IF(O7="","",O7),IF($B$1="Duet",IF(R7="","",R7),IF($B$1="Mixed",IF(U7="","",U7),IF(X7="","",X7))))),IF($B$1="Solo",IF(L507="","",L507),IF($B$1="MSolo",IF(L507="","",L507),IF($B$1="Duet",IF(O507="","",O507),IF($B$1="Mixed",IF(R507="","",R507),IF(U507="","",U507))))))</f>
        <v>#N/A</v>
      </c>
      <c r="B8" s="3" t="e">
        <f>IF('Coach Card'!$T$5="",IF($B$1="Solo",IF(M7="","",M7),IF($B$1="MSolo",IF(P7="","",P7),IF($B$1="Duet",IF(S7="","",S7),IF($B$1="Mixed",IF(V7="","",V7),IF(Y7="","",Y7))))),IF($B$1="Solo",IF(M507="","",M507),IF($B$1="MSolo",IF(M507="","",M507),IF($B$1="Duet",IF(P507="","",P507),IF($B$1="Mixed",IF(S507="","",S507),IF(V507="","",V507))))))</f>
        <v>#N/A</v>
      </c>
      <c r="C8" s="3" t="e">
        <f>IF('Coach Card'!$T$5="",IF($B$1="Solo",IF(N7="","",N7),IF($B$1="MSolo",IF(Q7="","",Q7),IF($B$1="Duet",IF(T7="","",T7),IF($B$1="Mixed",IF(W7="","",W7),IF(Z7="","",Z7))))),IF($B$1="Solo",IF(N507="","",N507),IF($B$1="MSolo",IF(N507="","",N507),IF($B$1="Duet",IF(Q507="","",Q507),IF($B$1="Mixed",IF(T507="","",T507),IF(W507="","",W507))))))</f>
        <v>#N/A</v>
      </c>
      <c r="D8" s="3" t="e">
        <f>IF('Coach Card'!$T$5="",IF($D$1="Team",IF(AG7="","",AG7),""),IF($D$1="Team",IF(AD507="","",AD507),""))</f>
        <v>#N/A</v>
      </c>
      <c r="E8" s="3" t="e">
        <f>IF('Coach Card'!$T$5="",IF($D$1="Team",IF(AH7="","",AH7),""),IF($D$1="Team",IF(AE507="","",AE507),""))</f>
        <v>#N/A</v>
      </c>
      <c r="F8" t="s">
        <v>1780</v>
      </c>
      <c r="G8">
        <v>0.65</v>
      </c>
      <c r="L8" s="1" t="s">
        <v>1765</v>
      </c>
      <c r="M8" t="s">
        <v>1781</v>
      </c>
      <c r="N8" s="3">
        <v>0.65</v>
      </c>
      <c r="O8" s="1" t="s">
        <v>1765</v>
      </c>
      <c r="P8" t="s">
        <v>1781</v>
      </c>
      <c r="Q8" s="3">
        <v>0.65</v>
      </c>
      <c r="R8" s="1" t="s">
        <v>1765</v>
      </c>
      <c r="S8" t="s">
        <v>1781</v>
      </c>
      <c r="T8" s="3">
        <v>0.65</v>
      </c>
      <c r="U8" s="1" t="s">
        <v>1765</v>
      </c>
      <c r="V8" t="s">
        <v>1781</v>
      </c>
      <c r="W8" s="3">
        <v>0.65</v>
      </c>
      <c r="X8" s="1" t="s">
        <v>1765</v>
      </c>
      <c r="Y8" t="s">
        <v>1781</v>
      </c>
      <c r="Z8" s="3">
        <v>0.65</v>
      </c>
      <c r="AB8" s="3"/>
      <c r="AD8" s="3"/>
      <c r="AF8" s="3"/>
      <c r="AG8" t="s">
        <v>88</v>
      </c>
      <c r="AH8" s="3">
        <v>1.2</v>
      </c>
      <c r="AK8" t="s">
        <v>1781</v>
      </c>
      <c r="AL8" t="s">
        <v>1781</v>
      </c>
      <c r="AM8">
        <v>1</v>
      </c>
    </row>
    <row r="9" spans="1:39" x14ac:dyDescent="0.35">
      <c r="A9" s="6" t="e">
        <f>IF('Coach Card'!$T$5="",IF($B$1="Solo",IF(L8="","",L8),IF($B$1="MSolo",IF(O8="","",O8),IF($B$1="Duet",IF(R8="","",R8),IF($B$1="Mixed",IF(U8="","",U8),IF(X8="","",X8))))),IF($B$1="Solo",IF(L508="","",L508),IF($B$1="MSolo",IF(L508="","",L508),IF($B$1="Duet",IF(O508="","",O508),IF($B$1="Mixed",IF(R508="","",R508),IF(U508="","",U508))))))</f>
        <v>#N/A</v>
      </c>
      <c r="B9" s="3" t="e">
        <f>IF('Coach Card'!$T$5="",IF($B$1="Solo",IF(M8="","",M8),IF($B$1="MSolo",IF(P8="","",P8),IF($B$1="Duet",IF(S8="","",S8),IF($B$1="Mixed",IF(V8="","",V8),IF(Y8="","",Y8))))),IF($B$1="Solo",IF(M508="","",M508),IF($B$1="MSolo",IF(M508="","",M508),IF($B$1="Duet",IF(P508="","",P508),IF($B$1="Mixed",IF(S508="","",S508),IF(V508="","",V508))))))</f>
        <v>#N/A</v>
      </c>
      <c r="C9" s="3" t="e">
        <f>IF('Coach Card'!$T$5="",IF($B$1="Solo",IF(N8="","",N8),IF($B$1="MSolo",IF(Q8="","",Q8),IF($B$1="Duet",IF(T8="","",T8),IF($B$1="Mixed",IF(W8="","",W8),IF(Z8="","",Z8))))),IF($B$1="Solo",IF(N508="","",N508),IF($B$1="MSolo",IF(N508="","",N508),IF($B$1="Duet",IF(Q508="","",Q508),IF($B$1="Mixed",IF(T508="","",T508),IF(W508="","",W508))))))</f>
        <v>#N/A</v>
      </c>
      <c r="D9" s="3" t="e">
        <f>IF('Coach Card'!$T$5="",IF($D$1="Team",IF(AG8="","",AG8),""),IF($D$1="Team",IF(AD508="","",AD508),""))</f>
        <v>#N/A</v>
      </c>
      <c r="E9" s="3" t="e">
        <f>IF('Coach Card'!$T$5="",IF($D$1="Team",IF(AH8="","",AH8),""),IF($D$1="Team",IF(AE508="","",AE508),""))</f>
        <v>#N/A</v>
      </c>
      <c r="F9" t="s">
        <v>1781</v>
      </c>
      <c r="G9">
        <v>0.65</v>
      </c>
      <c r="L9" s="1" t="s">
        <v>1765</v>
      </c>
      <c r="M9" t="s">
        <v>1782</v>
      </c>
      <c r="N9" s="3">
        <v>0.65</v>
      </c>
      <c r="O9" s="1" t="s">
        <v>1765</v>
      </c>
      <c r="P9" t="s">
        <v>1782</v>
      </c>
      <c r="Q9" s="3">
        <v>0.65</v>
      </c>
      <c r="R9" s="1" t="s">
        <v>1765</v>
      </c>
      <c r="S9" t="s">
        <v>1782</v>
      </c>
      <c r="T9" s="3">
        <v>0.65</v>
      </c>
      <c r="U9" s="1" t="s">
        <v>1765</v>
      </c>
      <c r="V9" t="s">
        <v>1782</v>
      </c>
      <c r="W9" s="3">
        <v>0.65</v>
      </c>
      <c r="X9" s="1" t="s">
        <v>1765</v>
      </c>
      <c r="Y9" t="s">
        <v>1782</v>
      </c>
      <c r="Z9" s="3">
        <v>0.65</v>
      </c>
      <c r="AB9" s="3"/>
      <c r="AD9" s="3"/>
      <c r="AF9" s="3"/>
      <c r="AH9" s="3"/>
      <c r="AK9" t="s">
        <v>1782</v>
      </c>
      <c r="AL9" t="s">
        <v>1782</v>
      </c>
      <c r="AM9">
        <v>1</v>
      </c>
    </row>
    <row r="10" spans="1:39" x14ac:dyDescent="0.35">
      <c r="A10" s="6" t="e">
        <f>IF('Coach Card'!$T$5="",IF($B$1="Solo",IF(L9="","",L9),IF($B$1="MSolo",IF(O9="","",O9),IF($B$1="Duet",IF(R9="","",R9),IF($B$1="Mixed",IF(U9="","",U9),IF(X9="","",X9))))),IF($B$1="Solo",IF(L509="","",L509),IF($B$1="MSolo",IF(L509="","",L509),IF($B$1="Duet",IF(O509="","",O509),IF($B$1="Mixed",IF(R509="","",R509),IF(U509="","",U509))))))</f>
        <v>#N/A</v>
      </c>
      <c r="B10" s="3" t="e">
        <f>IF('Coach Card'!$T$5="",IF($B$1="Solo",IF(M9="","",M9),IF($B$1="MSolo",IF(P9="","",P9),IF($B$1="Duet",IF(S9="","",S9),IF($B$1="Mixed",IF(V9="","",V9),IF(Y9="","",Y9))))),IF($B$1="Solo",IF(M509="","",M509),IF($B$1="MSolo",IF(M509="","",M509),IF($B$1="Duet",IF(P509="","",P509),IF($B$1="Mixed",IF(S509="","",S509),IF(V509="","",V509))))))</f>
        <v>#N/A</v>
      </c>
      <c r="C10" s="3" t="e">
        <f>IF('Coach Card'!$T$5="",IF($B$1="Solo",IF(N9="","",N9),IF($B$1="MSolo",IF(Q9="","",Q9),IF($B$1="Duet",IF(T9="","",T9),IF($B$1="Mixed",IF(W9="","",W9),IF(Z9="","",Z9))))),IF($B$1="Solo",IF(N509="","",N509),IF($B$1="MSolo",IF(N509="","",N509),IF($B$1="Duet",IF(Q509="","",Q509),IF($B$1="Mixed",IF(T509="","",T509),IF(W509="","",W509))))))</f>
        <v>#N/A</v>
      </c>
      <c r="D10" s="3" t="e">
        <f>IF('Coach Card'!$T$5="",IF($D$1="Team",IF(AG9="","",AG9),""),IF($D$1="Team",IF(AD509="","",AD509),""))</f>
        <v>#N/A</v>
      </c>
      <c r="E10" s="3" t="e">
        <f>IF('Coach Card'!$T$5="",IF($D$1="Team",IF(AH9="","",AH9),""),IF($D$1="Team",IF(AE509="","",AE509),""))</f>
        <v>#N/A</v>
      </c>
      <c r="F10" t="s">
        <v>1782</v>
      </c>
      <c r="G10">
        <v>0.65</v>
      </c>
      <c r="L10" s="1" t="s">
        <v>1765</v>
      </c>
      <c r="M10" t="s">
        <v>1783</v>
      </c>
      <c r="N10" s="3">
        <v>0.65</v>
      </c>
      <c r="O10" s="1" t="s">
        <v>1765</v>
      </c>
      <c r="P10" t="s">
        <v>1783</v>
      </c>
      <c r="Q10" s="3">
        <v>0.65</v>
      </c>
      <c r="R10" s="1" t="s">
        <v>1765</v>
      </c>
      <c r="S10" t="s">
        <v>1783</v>
      </c>
      <c r="T10" s="3">
        <v>0.65</v>
      </c>
      <c r="U10" s="1" t="s">
        <v>1765</v>
      </c>
      <c r="V10" t="s">
        <v>1783</v>
      </c>
      <c r="W10" s="3">
        <v>0.65</v>
      </c>
      <c r="X10" s="1" t="s">
        <v>1765</v>
      </c>
      <c r="Y10" t="s">
        <v>1783</v>
      </c>
      <c r="Z10" s="3">
        <v>0.65</v>
      </c>
      <c r="AB10" s="3"/>
      <c r="AD10" s="3"/>
      <c r="AF10" s="3"/>
      <c r="AH10" s="3"/>
      <c r="AK10" t="s">
        <v>1783</v>
      </c>
      <c r="AL10" t="s">
        <v>1783</v>
      </c>
      <c r="AM10">
        <v>1</v>
      </c>
    </row>
    <row r="11" spans="1:39" x14ac:dyDescent="0.35">
      <c r="A11" s="6" t="e">
        <f>IF('Coach Card'!$T$5="",IF($B$1="Solo",IF(L10="","",L10),IF($B$1="MSolo",IF(O10="","",O10),IF($B$1="Duet",IF(R10="","",R10),IF($B$1="Mixed",IF(U10="","",U10),IF(X10="","",X10))))),IF($B$1="Solo",IF(L510="","",L510),IF($B$1="MSolo",IF(L510="","",L510),IF($B$1="Duet",IF(O510="","",O510),IF($B$1="Mixed",IF(R510="","",R510),IF(U510="","",U510))))))</f>
        <v>#N/A</v>
      </c>
      <c r="B11" s="3" t="e">
        <f>IF('Coach Card'!$T$5="",IF($B$1="Solo",IF(M10="","",M10),IF($B$1="MSolo",IF(P10="","",P10),IF($B$1="Duet",IF(S10="","",S10),IF($B$1="Mixed",IF(V10="","",V10),IF(Y10="","",Y10))))),IF($B$1="Solo",IF(M510="","",M510),IF($B$1="MSolo",IF(M510="","",M510),IF($B$1="Duet",IF(P510="","",P510),IF($B$1="Mixed",IF(S510="","",S510),IF(V510="","",V510))))))</f>
        <v>#N/A</v>
      </c>
      <c r="C11" s="3" t="e">
        <f>IF('Coach Card'!$T$5="",IF($B$1="Solo",IF(N10="","",N10),IF($B$1="MSolo",IF(Q10="","",Q10),IF($B$1="Duet",IF(T10="","",T10),IF($B$1="Mixed",IF(W10="","",W10),IF(Z10="","",Z10))))),IF($B$1="Solo",IF(N510="","",N510),IF($B$1="MSolo",IF(N510="","",N510),IF($B$1="Duet",IF(Q510="","",Q510),IF($B$1="Mixed",IF(T510="","",T510),IF(W510="","",W510))))))</f>
        <v>#N/A</v>
      </c>
      <c r="D11" s="3" t="e">
        <f>IF('Coach Card'!$T$5="",IF($D$1="Team",IF(AG10="","",AG10),""),IF($D$1="Team",IF(AD510="","",AD510),""))</f>
        <v>#N/A</v>
      </c>
      <c r="E11" s="3" t="e">
        <f>IF('Coach Card'!$T$5="",IF($D$1="Team",IF(AH10="","",AH10),""),IF($D$1="Team",IF(AE510="","",AE510),""))</f>
        <v>#N/A</v>
      </c>
      <c r="F11" t="s">
        <v>1783</v>
      </c>
      <c r="G11">
        <v>0.65</v>
      </c>
      <c r="L11" s="1" t="s">
        <v>1765</v>
      </c>
      <c r="M11" t="s">
        <v>1784</v>
      </c>
      <c r="N11" s="3">
        <v>0.85</v>
      </c>
      <c r="O11" s="1" t="s">
        <v>1765</v>
      </c>
      <c r="P11" t="s">
        <v>1784</v>
      </c>
      <c r="Q11" s="3">
        <v>0.85</v>
      </c>
      <c r="R11" s="1" t="s">
        <v>1765</v>
      </c>
      <c r="S11" t="s">
        <v>1784</v>
      </c>
      <c r="T11" s="3">
        <v>0.85</v>
      </c>
      <c r="U11" s="1" t="s">
        <v>1765</v>
      </c>
      <c r="V11" t="s">
        <v>1784</v>
      </c>
      <c r="W11" s="3">
        <v>0.85</v>
      </c>
      <c r="X11" s="1" t="s">
        <v>1765</v>
      </c>
      <c r="Y11" t="s">
        <v>1784</v>
      </c>
      <c r="Z11" s="3">
        <v>0.85</v>
      </c>
      <c r="AB11" s="3"/>
      <c r="AD11" s="3"/>
      <c r="AF11" s="3"/>
      <c r="AH11" s="3"/>
      <c r="AK11" t="s">
        <v>1784</v>
      </c>
      <c r="AL11" t="s">
        <v>1784</v>
      </c>
      <c r="AM11">
        <v>1</v>
      </c>
    </row>
    <row r="12" spans="1:39" x14ac:dyDescent="0.35">
      <c r="A12" s="6" t="e">
        <f>IF('Coach Card'!$T$5="",IF($B$1="Solo",IF(L11="","",L11),IF($B$1="MSolo",IF(O11="","",O11),IF($B$1="Duet",IF(R11="","",R11),IF($B$1="Mixed",IF(U11="","",U11),IF(X11="","",X11))))),IF($B$1="Solo",IF(L511="","",L511),IF($B$1="MSolo",IF(L511="","",L511),IF($B$1="Duet",IF(O511="","",O511),IF($B$1="Mixed",IF(R511="","",R511),IF(U511="","",U511))))))</f>
        <v>#N/A</v>
      </c>
      <c r="B12" s="3" t="e">
        <f>IF('Coach Card'!$T$5="",IF($B$1="Solo",IF(M11="","",M11),IF($B$1="MSolo",IF(P11="","",P11),IF($B$1="Duet",IF(S11="","",S11),IF($B$1="Mixed",IF(V11="","",V11),IF(Y11="","",Y11))))),IF($B$1="Solo",IF(M511="","",M511),IF($B$1="MSolo",IF(M511="","",M511),IF($B$1="Duet",IF(P511="","",P511),IF($B$1="Mixed",IF(S511="","",S511),IF(V511="","",V511))))))</f>
        <v>#N/A</v>
      </c>
      <c r="C12" s="3" t="e">
        <f>IF('Coach Card'!$T$5="",IF($B$1="Solo",IF(N11="","",N11),IF($B$1="MSolo",IF(Q11="","",Q11),IF($B$1="Duet",IF(T11="","",T11),IF($B$1="Mixed",IF(W11="","",W11),IF(Z11="","",Z11))))),IF($B$1="Solo",IF(N511="","",N511),IF($B$1="MSolo",IF(N511="","",N511),IF($B$1="Duet",IF(Q511="","",Q511),IF($B$1="Mixed",IF(T511="","",T511),IF(W511="","",W511))))))</f>
        <v>#N/A</v>
      </c>
      <c r="D12" s="3" t="e">
        <f>IF('Coach Card'!$T$5="",IF($D$1="Team",IF(AG11="","",AG11),""),IF($D$1="Team",IF(AD511="","",AD511),""))</f>
        <v>#N/A</v>
      </c>
      <c r="E12" s="3" t="e">
        <f>IF('Coach Card'!$T$5="",IF($D$1="Team",IF(AH11="","",AH11),""),IF($D$1="Team",IF(AE511="","",AE511),""))</f>
        <v>#N/A</v>
      </c>
      <c r="F12" t="s">
        <v>1784</v>
      </c>
      <c r="G12">
        <v>0.8</v>
      </c>
      <c r="L12" s="1" t="s">
        <v>1765</v>
      </c>
      <c r="M12" t="s">
        <v>1785</v>
      </c>
      <c r="N12" s="3">
        <v>0.85</v>
      </c>
      <c r="O12" s="1" t="s">
        <v>1765</v>
      </c>
      <c r="P12" t="s">
        <v>1785</v>
      </c>
      <c r="Q12" s="3">
        <v>0.85</v>
      </c>
      <c r="R12" s="1" t="s">
        <v>1765</v>
      </c>
      <c r="S12" t="s">
        <v>1785</v>
      </c>
      <c r="T12" s="3">
        <v>0.85</v>
      </c>
      <c r="U12" s="1" t="s">
        <v>1765</v>
      </c>
      <c r="V12" t="s">
        <v>1785</v>
      </c>
      <c r="W12" s="3">
        <v>0.85</v>
      </c>
      <c r="X12" s="1" t="s">
        <v>1765</v>
      </c>
      <c r="Y12" t="s">
        <v>1785</v>
      </c>
      <c r="Z12" s="3">
        <v>0.85</v>
      </c>
      <c r="AB12" s="3"/>
      <c r="AD12" s="3"/>
      <c r="AF12" s="3"/>
      <c r="AH12" s="3"/>
      <c r="AK12" t="s">
        <v>1785</v>
      </c>
      <c r="AL12" t="s">
        <v>1785</v>
      </c>
      <c r="AM12">
        <v>1</v>
      </c>
    </row>
    <row r="13" spans="1:39" x14ac:dyDescent="0.35">
      <c r="A13" s="6" t="e">
        <f>IF('Coach Card'!$T$5="",IF($B$1="Solo",IF(L12="","",L12),IF($B$1="MSolo",IF(O12="","",O12),IF($B$1="Duet",IF(R12="","",R12),IF($B$1="Mixed",IF(U12="","",U12),IF(X12="","",X12))))),IF($B$1="Solo",IF(L512="","",L512),IF($B$1="MSolo",IF(L512="","",L512),IF($B$1="Duet",IF(O512="","",O512),IF($B$1="Mixed",IF(R512="","",R512),IF(U512="","",U512))))))</f>
        <v>#N/A</v>
      </c>
      <c r="B13" s="3" t="e">
        <f>IF('Coach Card'!$T$5="",IF($B$1="Solo",IF(M12="","",M12),IF($B$1="MSolo",IF(P12="","",P12),IF($B$1="Duet",IF(S12="","",S12),IF($B$1="Mixed",IF(V12="","",V12),IF(Y12="","",Y12))))),IF($B$1="Solo",IF(M512="","",M512),IF($B$1="MSolo",IF(M512="","",M512),IF($B$1="Duet",IF(P512="","",P512),IF($B$1="Mixed",IF(S512="","",S512),IF(V512="","",V512))))))</f>
        <v>#N/A</v>
      </c>
      <c r="C13" s="3" t="e">
        <f>IF('Coach Card'!$T$5="",IF($B$1="Solo",IF(N12="","",N12),IF($B$1="MSolo",IF(Q12="","",Q12),IF($B$1="Duet",IF(T12="","",T12),IF($B$1="Mixed",IF(W12="","",W12),IF(Z12="","",Z12))))),IF($B$1="Solo",IF(N512="","",N512),IF($B$1="MSolo",IF(N512="","",N512),IF($B$1="Duet",IF(Q512="","",Q512),IF($B$1="Mixed",IF(T512="","",T512),IF(W512="","",W512))))))</f>
        <v>#N/A</v>
      </c>
      <c r="D13" s="3" t="e">
        <f>IF('Coach Card'!$T$5="",IF($D$1="Team",IF(AG12="","",AG12),""),IF($D$1="Team",IF(AD512="","",AD512),""))</f>
        <v>#N/A</v>
      </c>
      <c r="E13" s="3" t="e">
        <f>IF('Coach Card'!$T$5="",IF($D$1="Team",IF(AH12="","",AH12),""),IF($D$1="Team",IF(AE512="","",AE512),""))</f>
        <v>#N/A</v>
      </c>
      <c r="F13" t="s">
        <v>1785</v>
      </c>
      <c r="G13">
        <v>0.8</v>
      </c>
      <c r="L13" s="1" t="s">
        <v>1765</v>
      </c>
      <c r="M13" t="s">
        <v>1786</v>
      </c>
      <c r="N13" s="3">
        <v>0.85</v>
      </c>
      <c r="O13" s="1" t="s">
        <v>1765</v>
      </c>
      <c r="P13" t="s">
        <v>1786</v>
      </c>
      <c r="Q13" s="3">
        <v>0.85</v>
      </c>
      <c r="R13" s="1" t="s">
        <v>1765</v>
      </c>
      <c r="S13" t="s">
        <v>1786</v>
      </c>
      <c r="T13" s="3">
        <v>0.85</v>
      </c>
      <c r="U13" s="1" t="s">
        <v>1765</v>
      </c>
      <c r="V13" t="s">
        <v>1786</v>
      </c>
      <c r="W13" s="3">
        <v>0.85</v>
      </c>
      <c r="X13" s="1" t="s">
        <v>1765</v>
      </c>
      <c r="Y13" t="s">
        <v>1786</v>
      </c>
      <c r="Z13" s="3">
        <v>0.85</v>
      </c>
      <c r="AB13" s="3"/>
      <c r="AD13" s="3"/>
      <c r="AF13" s="3"/>
      <c r="AH13" s="3"/>
      <c r="AK13" t="s">
        <v>1786</v>
      </c>
      <c r="AL13" t="s">
        <v>1786</v>
      </c>
      <c r="AM13">
        <v>1</v>
      </c>
    </row>
    <row r="14" spans="1:39" x14ac:dyDescent="0.35">
      <c r="A14" s="6" t="e">
        <f>IF('Coach Card'!$T$5="",IF($B$1="Solo",IF(L13="","",L13),IF($B$1="MSolo",IF(O13="","",O13),IF($B$1="Duet",IF(R13="","",R13),IF($B$1="Mixed",IF(U13="","",U13),IF(X13="","",X13))))),IF($B$1="Solo",IF(L513="","",L513),IF($B$1="MSolo",IF(L513="","",L513),IF($B$1="Duet",IF(O513="","",O513),IF($B$1="Mixed",IF(R513="","",R513),IF(U513="","",U513))))))</f>
        <v>#N/A</v>
      </c>
      <c r="B14" s="3" t="e">
        <f>IF('Coach Card'!$T$5="",IF($B$1="Solo",IF(M13="","",M13),IF($B$1="MSolo",IF(P13="","",P13),IF($B$1="Duet",IF(S13="","",S13),IF($B$1="Mixed",IF(V13="","",V13),IF(Y13="","",Y13))))),IF($B$1="Solo",IF(M513="","",M513),IF($B$1="MSolo",IF(M513="","",M513),IF($B$1="Duet",IF(P513="","",P513),IF($B$1="Mixed",IF(S513="","",S513),IF(V513="","",V513))))))</f>
        <v>#N/A</v>
      </c>
      <c r="C14" s="3" t="e">
        <f>IF('Coach Card'!$T$5="",IF($B$1="Solo",IF(N13="","",N13),IF($B$1="MSolo",IF(Q13="","",Q13),IF($B$1="Duet",IF(T13="","",T13),IF($B$1="Mixed",IF(W13="","",W13),IF(Z13="","",Z13))))),IF($B$1="Solo",IF(N513="","",N513),IF($B$1="MSolo",IF(N513="","",N513),IF($B$1="Duet",IF(Q513="","",Q513),IF($B$1="Mixed",IF(T513="","",T513),IF(W513="","",W513))))))</f>
        <v>#N/A</v>
      </c>
      <c r="D14" s="3" t="e">
        <f>IF('Coach Card'!$T$5="",IF($D$1="Team",IF(AG13="","",AG13),""),IF($D$1="Team",IF(AD513="","",AD513),""))</f>
        <v>#N/A</v>
      </c>
      <c r="E14" s="3" t="e">
        <f>IF('Coach Card'!$T$5="",IF($D$1="Team",IF(AH13="","",AH13),""),IF($D$1="Team",IF(AE513="","",AE513),""))</f>
        <v>#N/A</v>
      </c>
      <c r="F14" t="s">
        <v>1786</v>
      </c>
      <c r="G14">
        <v>0.8</v>
      </c>
      <c r="L14" s="1" t="s">
        <v>1765</v>
      </c>
      <c r="M14" t="s">
        <v>1787</v>
      </c>
      <c r="N14" s="3">
        <v>0.85</v>
      </c>
      <c r="O14" s="1" t="s">
        <v>1765</v>
      </c>
      <c r="P14" t="s">
        <v>1787</v>
      </c>
      <c r="Q14" s="3">
        <v>0.85</v>
      </c>
      <c r="R14" s="1" t="s">
        <v>1765</v>
      </c>
      <c r="S14" t="s">
        <v>1787</v>
      </c>
      <c r="T14" s="3">
        <v>0.85</v>
      </c>
      <c r="U14" s="1" t="s">
        <v>1765</v>
      </c>
      <c r="V14" t="s">
        <v>1787</v>
      </c>
      <c r="W14" s="3">
        <v>0.85</v>
      </c>
      <c r="X14" s="1" t="s">
        <v>1765</v>
      </c>
      <c r="Y14" t="s">
        <v>1787</v>
      </c>
      <c r="Z14" s="3">
        <v>0.85</v>
      </c>
      <c r="AB14" s="3"/>
      <c r="AD14" s="3"/>
      <c r="AF14" s="3"/>
      <c r="AH14" s="3"/>
      <c r="AK14" t="s">
        <v>1787</v>
      </c>
      <c r="AL14" t="s">
        <v>1787</v>
      </c>
      <c r="AM14">
        <v>1</v>
      </c>
    </row>
    <row r="15" spans="1:39" x14ac:dyDescent="0.35">
      <c r="A15" s="6" t="e">
        <f>IF('Coach Card'!$T$5="",IF($B$1="Solo",IF(L14="","",L14),IF($B$1="MSolo",IF(O14="","",O14),IF($B$1="Duet",IF(R14="","",R14),IF($B$1="Mixed",IF(U14="","",U14),IF(X14="","",X14))))),IF($B$1="Solo",IF(L514="","",L514),IF($B$1="MSolo",IF(L514="","",L514),IF($B$1="Duet",IF(O514="","",O514),IF($B$1="Mixed",IF(R514="","",R514),IF(U514="","",U514))))))</f>
        <v>#N/A</v>
      </c>
      <c r="B15" s="3" t="e">
        <f>IF('Coach Card'!$T$5="",IF($B$1="Solo",IF(M14="","",M14),IF($B$1="MSolo",IF(P14="","",P14),IF($B$1="Duet",IF(S14="","",S14),IF($B$1="Mixed",IF(V14="","",V14),IF(Y14="","",Y14))))),IF($B$1="Solo",IF(M514="","",M514),IF($B$1="MSolo",IF(M514="","",M514),IF($B$1="Duet",IF(P514="","",P514),IF($B$1="Mixed",IF(S514="","",S514),IF(V514="","",V514))))))</f>
        <v>#N/A</v>
      </c>
      <c r="C15" s="3" t="e">
        <f>IF('Coach Card'!$T$5="",IF($B$1="Solo",IF(N14="","",N14),IF($B$1="MSolo",IF(Q14="","",Q14),IF($B$1="Duet",IF(T14="","",T14),IF($B$1="Mixed",IF(W14="","",W14),IF(Z14="","",Z14))))),IF($B$1="Solo",IF(N514="","",N514),IF($B$1="MSolo",IF(N514="","",N514),IF($B$1="Duet",IF(Q514="","",Q514),IF($B$1="Mixed",IF(T514="","",T514),IF(W514="","",W514))))))</f>
        <v>#N/A</v>
      </c>
      <c r="D15" s="3" t="e">
        <f>IF('Coach Card'!$T$5="",IF($D$1="Team",IF(AG14="","",AG14),""),IF($D$1="Team",IF(AD514="","",AD514),""))</f>
        <v>#N/A</v>
      </c>
      <c r="E15" s="3" t="e">
        <f>IF('Coach Card'!$T$5="",IF($D$1="Team",IF(AH14="","",AH14),""),IF($D$1="Team",IF(AE514="","",AE514),""))</f>
        <v>#N/A</v>
      </c>
      <c r="F15" t="s">
        <v>1787</v>
      </c>
      <c r="G15">
        <v>0.8</v>
      </c>
      <c r="L15" s="1" t="s">
        <v>1765</v>
      </c>
      <c r="M15" t="s">
        <v>1853</v>
      </c>
      <c r="N15" s="3">
        <v>0.85</v>
      </c>
      <c r="O15" s="1" t="s">
        <v>1765</v>
      </c>
      <c r="P15" t="s">
        <v>1853</v>
      </c>
      <c r="Q15" s="3">
        <v>0.85</v>
      </c>
      <c r="R15" s="1" t="s">
        <v>1765</v>
      </c>
      <c r="S15" t="s">
        <v>1853</v>
      </c>
      <c r="T15" s="3">
        <v>0.85</v>
      </c>
      <c r="U15" s="1" t="s">
        <v>1765</v>
      </c>
      <c r="V15" t="s">
        <v>1853</v>
      </c>
      <c r="W15" s="3">
        <v>0.85</v>
      </c>
      <c r="X15" s="1" t="s">
        <v>1765</v>
      </c>
      <c r="Y15" t="s">
        <v>1853</v>
      </c>
      <c r="Z15" s="3">
        <v>0.85</v>
      </c>
      <c r="AB15" s="3"/>
      <c r="AD15" s="3"/>
      <c r="AF15" s="3"/>
      <c r="AH15" s="3"/>
      <c r="AK15" t="s">
        <v>1853</v>
      </c>
      <c r="AL15" t="s">
        <v>1853</v>
      </c>
      <c r="AM15">
        <v>1</v>
      </c>
    </row>
    <row r="16" spans="1:39" x14ac:dyDescent="0.35">
      <c r="A16" s="6" t="e">
        <f>IF('Coach Card'!$T$5="",IF($B$1="Solo",IF(L15="","",L15),IF($B$1="MSolo",IF(O15="","",O15),IF($B$1="Duet",IF(R15="","",R15),IF($B$1="Mixed",IF(U15="","",U15),IF(X15="","",X15))))),IF($B$1="Solo",IF(L515="","",L515),IF($B$1="MSolo",IF(L515="","",L515),IF($B$1="Duet",IF(O515="","",O515),IF($B$1="Mixed",IF(R515="","",R515),IF(U515="","",U515))))))</f>
        <v>#N/A</v>
      </c>
      <c r="B16" s="3" t="e">
        <f>IF('Coach Card'!$T$5="",IF($B$1="Solo",IF(M15="","",M15),IF($B$1="MSolo",IF(P15="","",P15),IF($B$1="Duet",IF(S15="","",S15),IF($B$1="Mixed",IF(V15="","",V15),IF(Y15="","",Y15))))),IF($B$1="Solo",IF(M515="","",M515),IF($B$1="MSolo",IF(M515="","",M515),IF($B$1="Duet",IF(P515="","",P515),IF($B$1="Mixed",IF(S515="","",S515),IF(V515="","",V515))))))</f>
        <v>#N/A</v>
      </c>
      <c r="C16" s="3" t="e">
        <f>IF('Coach Card'!$T$5="",IF($B$1="Solo",IF(N15="","",N15),IF($B$1="MSolo",IF(Q15="","",Q15),IF($B$1="Duet",IF(T15="","",T15),IF($B$1="Mixed",IF(W15="","",W15),IF(Z15="","",Z15))))),IF($B$1="Solo",IF(N515="","",N515),IF($B$1="MSolo",IF(N515="","",N515),IF($B$1="Duet",IF(Q515="","",Q515),IF($B$1="Mixed",IF(T515="","",T515),IF(W515="","",W515))))))</f>
        <v>#N/A</v>
      </c>
      <c r="D16" s="3" t="e">
        <f>IF('Coach Card'!$T$5="",IF($D$1="Team",IF(AG15="","",AG15),""),IF($D$1="Team",IF(AD515="","",AD515),""))</f>
        <v>#N/A</v>
      </c>
      <c r="E16" s="3" t="e">
        <f>IF('Coach Card'!$T$5="",IF($D$1="Team",IF(AH15="","",AH15),""),IF($D$1="Team",IF(AE515="","",AE515),""))</f>
        <v>#N/A</v>
      </c>
      <c r="F16" t="s">
        <v>1853</v>
      </c>
      <c r="G16">
        <v>0.8</v>
      </c>
      <c r="L16" s="1" t="s">
        <v>1765</v>
      </c>
      <c r="M16" t="s">
        <v>1788</v>
      </c>
      <c r="N16" s="3">
        <v>0.9</v>
      </c>
      <c r="O16" s="1" t="s">
        <v>1765</v>
      </c>
      <c r="P16" t="s">
        <v>1788</v>
      </c>
      <c r="Q16" s="3">
        <v>0.9</v>
      </c>
      <c r="R16" s="1" t="s">
        <v>1765</v>
      </c>
      <c r="S16" t="s">
        <v>1788</v>
      </c>
      <c r="T16" s="3">
        <v>0.9</v>
      </c>
      <c r="U16" s="1" t="s">
        <v>1765</v>
      </c>
      <c r="V16" t="s">
        <v>1788</v>
      </c>
      <c r="W16" s="3">
        <v>0.9</v>
      </c>
      <c r="X16" s="1" t="s">
        <v>1765</v>
      </c>
      <c r="Y16" t="s">
        <v>1788</v>
      </c>
      <c r="Z16" s="3">
        <v>0.9</v>
      </c>
      <c r="AB16" s="3"/>
      <c r="AD16" s="3"/>
      <c r="AF16" s="3"/>
      <c r="AH16" s="3"/>
      <c r="AK16" t="s">
        <v>1788</v>
      </c>
      <c r="AL16" t="s">
        <v>1788</v>
      </c>
      <c r="AM16">
        <v>1</v>
      </c>
    </row>
    <row r="17" spans="1:39" x14ac:dyDescent="0.35">
      <c r="A17" s="6" t="e">
        <f>IF('Coach Card'!$T$5="",IF($B$1="Solo",IF(L16="","",L16),IF($B$1="MSolo",IF(O16="","",O16),IF($B$1="Duet",IF(R16="","",R16),IF($B$1="Mixed",IF(U16="","",U16),IF(X16="","",X16))))),IF($B$1="Solo",IF(L516="","",L516),IF($B$1="MSolo",IF(L516="","",L516),IF($B$1="Duet",IF(O516="","",O516),IF($B$1="Mixed",IF(R516="","",R516),IF(U516="","",U516))))))</f>
        <v>#N/A</v>
      </c>
      <c r="B17" s="3" t="e">
        <f>IF('Coach Card'!$T$5="",IF($B$1="Solo",IF(M16="","",M16),IF($B$1="MSolo",IF(P16="","",P16),IF($B$1="Duet",IF(S16="","",S16),IF($B$1="Mixed",IF(V16="","",V16),IF(Y16="","",Y16))))),IF($B$1="Solo",IF(M516="","",M516),IF($B$1="MSolo",IF(M516="","",M516),IF($B$1="Duet",IF(P516="","",P516),IF($B$1="Mixed",IF(S516="","",S516),IF(V516="","",V516))))))</f>
        <v>#N/A</v>
      </c>
      <c r="C17" s="3" t="e">
        <f>IF('Coach Card'!$T$5="",IF($B$1="Solo",IF(N16="","",N16),IF($B$1="MSolo",IF(Q16="","",Q16),IF($B$1="Duet",IF(T16="","",T16),IF($B$1="Mixed",IF(W16="","",W16),IF(Z16="","",Z16))))),IF($B$1="Solo",IF(N516="","",N516),IF($B$1="MSolo",IF(N516="","",N516),IF($B$1="Duet",IF(Q516="","",Q516),IF($B$1="Mixed",IF(T516="","",T516),IF(W516="","",W516))))))</f>
        <v>#N/A</v>
      </c>
      <c r="D17" s="3" t="e">
        <f>IF('Coach Card'!$T$5="",IF($D$1="Team",IF(AG16="","",AG16),""),IF($D$1="Team",IF(AD516="","",AD516),""))</f>
        <v>#N/A</v>
      </c>
      <c r="E17" s="3" t="e">
        <f>IF('Coach Card'!$T$5="",IF($D$1="Team",IF(AH16="","",AH16),""),IF($D$1="Team",IF(AE516="","",AE516),""))</f>
        <v>#N/A</v>
      </c>
      <c r="F17" t="s">
        <v>1788</v>
      </c>
      <c r="G17">
        <v>0.9</v>
      </c>
      <c r="L17" s="1" t="s">
        <v>1765</v>
      </c>
      <c r="M17" t="s">
        <v>1789</v>
      </c>
      <c r="N17" s="3">
        <v>0.9</v>
      </c>
      <c r="O17" s="1" t="s">
        <v>1765</v>
      </c>
      <c r="P17" t="s">
        <v>1789</v>
      </c>
      <c r="Q17" s="3">
        <v>0.9</v>
      </c>
      <c r="R17" s="1" t="s">
        <v>1765</v>
      </c>
      <c r="S17" t="s">
        <v>1789</v>
      </c>
      <c r="T17" s="3">
        <v>0.9</v>
      </c>
      <c r="U17" s="1" t="s">
        <v>1765</v>
      </c>
      <c r="V17" t="s">
        <v>1789</v>
      </c>
      <c r="W17" s="3">
        <v>0.9</v>
      </c>
      <c r="X17" s="1" t="s">
        <v>1765</v>
      </c>
      <c r="Y17" t="s">
        <v>1789</v>
      </c>
      <c r="Z17" s="3">
        <v>0.9</v>
      </c>
      <c r="AB17" s="3"/>
      <c r="AD17" s="3"/>
      <c r="AF17" s="3"/>
      <c r="AH17" s="3"/>
      <c r="AK17" t="s">
        <v>1789</v>
      </c>
      <c r="AL17" t="s">
        <v>1789</v>
      </c>
      <c r="AM17">
        <v>1</v>
      </c>
    </row>
    <row r="18" spans="1:39" x14ac:dyDescent="0.35">
      <c r="A18" s="6" t="e">
        <f>IF('Coach Card'!$T$5="",IF($B$1="Solo",IF(L17="","",L17),IF($B$1="MSolo",IF(O17="","",O17),IF($B$1="Duet",IF(R17="","",R17),IF($B$1="Mixed",IF(U17="","",U17),IF(X17="","",X17))))),IF($B$1="Solo",IF(L517="","",L517),IF($B$1="MSolo",IF(L517="","",L517),IF($B$1="Duet",IF(O517="","",O517),IF($B$1="Mixed",IF(R517="","",R517),IF(U517="","",U517))))))</f>
        <v>#N/A</v>
      </c>
      <c r="B18" s="3" t="e">
        <f>IF('Coach Card'!$T$5="",IF($B$1="Solo",IF(M17="","",M17),IF($B$1="MSolo",IF(P17="","",P17),IF($B$1="Duet",IF(S17="","",S17),IF($B$1="Mixed",IF(V17="","",V17),IF(Y17="","",Y17))))),IF($B$1="Solo",IF(M517="","",M517),IF($B$1="MSolo",IF(M517="","",M517),IF($B$1="Duet",IF(P517="","",P517),IF($B$1="Mixed",IF(S517="","",S517),IF(V517="","",V517))))))</f>
        <v>#N/A</v>
      </c>
      <c r="C18" s="3" t="e">
        <f>IF('Coach Card'!$T$5="",IF($B$1="Solo",IF(N17="","",N17),IF($B$1="MSolo",IF(Q17="","",Q17),IF($B$1="Duet",IF(T17="","",T17),IF($B$1="Mixed",IF(W17="","",W17),IF(Z17="","",Z17))))),IF($B$1="Solo",IF(N517="","",N517),IF($B$1="MSolo",IF(N517="","",N517),IF($B$1="Duet",IF(Q517="","",Q517),IF($B$1="Mixed",IF(T517="","",T517),IF(W517="","",W517))))))</f>
        <v>#N/A</v>
      </c>
      <c r="D18" s="3" t="e">
        <f>IF('Coach Card'!$T$5="",IF($D$1="Team",IF(AG17="","",AG17),""),IF($D$1="Team",IF(AD517="","",AD517),""))</f>
        <v>#N/A</v>
      </c>
      <c r="E18" s="3" t="e">
        <f>IF('Coach Card'!$T$5="",IF($D$1="Team",IF(AH17="","",AH17),""),IF($D$1="Team",IF(AE517="","",AE517),""))</f>
        <v>#N/A</v>
      </c>
      <c r="F18" t="s">
        <v>1789</v>
      </c>
      <c r="G18">
        <v>0.9</v>
      </c>
      <c r="L18" s="1" t="s">
        <v>1765</v>
      </c>
      <c r="M18" t="s">
        <v>1790</v>
      </c>
      <c r="N18" s="3">
        <v>0.9</v>
      </c>
      <c r="O18" s="1" t="s">
        <v>1765</v>
      </c>
      <c r="P18" t="s">
        <v>1790</v>
      </c>
      <c r="Q18" s="3">
        <v>0.9</v>
      </c>
      <c r="R18" s="1" t="s">
        <v>1765</v>
      </c>
      <c r="S18" t="s">
        <v>1790</v>
      </c>
      <c r="T18" s="3">
        <v>0.9</v>
      </c>
      <c r="U18" s="1" t="s">
        <v>1765</v>
      </c>
      <c r="V18" t="s">
        <v>1790</v>
      </c>
      <c r="W18" s="3">
        <v>0.9</v>
      </c>
      <c r="X18" s="1" t="s">
        <v>1765</v>
      </c>
      <c r="Y18" t="s">
        <v>1790</v>
      </c>
      <c r="Z18" s="3">
        <v>0.9</v>
      </c>
      <c r="AB18" s="3"/>
      <c r="AD18" s="3"/>
      <c r="AF18" s="3"/>
      <c r="AH18" s="3"/>
      <c r="AK18" t="s">
        <v>1790</v>
      </c>
      <c r="AL18" t="s">
        <v>1790</v>
      </c>
      <c r="AM18">
        <v>1</v>
      </c>
    </row>
    <row r="19" spans="1:39" x14ac:dyDescent="0.35">
      <c r="A19" s="6" t="e">
        <f>IF('Coach Card'!$T$5="",IF($B$1="Solo",IF(L18="","",L18),IF($B$1="MSolo",IF(O18="","",O18),IF($B$1="Duet",IF(R18="","",R18),IF($B$1="Mixed",IF(U18="","",U18),IF(X18="","",X18))))),IF($B$1="Solo",IF(L518="","",L518),IF($B$1="MSolo",IF(L518="","",L518),IF($B$1="Duet",IF(O518="","",O518),IF($B$1="Mixed",IF(R518="","",R518),IF(U518="","",U518))))))</f>
        <v>#N/A</v>
      </c>
      <c r="B19" s="3" t="e">
        <f>IF('Coach Card'!$T$5="",IF($B$1="Solo",IF(M18="","",M18),IF($B$1="MSolo",IF(P18="","",P18),IF($B$1="Duet",IF(S18="","",S18),IF($B$1="Mixed",IF(V18="","",V18),IF(Y18="","",Y18))))),IF($B$1="Solo",IF(M518="","",M518),IF($B$1="MSolo",IF(M518="","",M518),IF($B$1="Duet",IF(P518="","",P518),IF($B$1="Mixed",IF(S518="","",S518),IF(V518="","",V518))))))</f>
        <v>#N/A</v>
      </c>
      <c r="C19" s="3" t="e">
        <f>IF('Coach Card'!$T$5="",IF($B$1="Solo",IF(N18="","",N18),IF($B$1="MSolo",IF(Q18="","",Q18),IF($B$1="Duet",IF(T18="","",T18),IF($B$1="Mixed",IF(W18="","",W18),IF(Z18="","",Z18))))),IF($B$1="Solo",IF(N518="","",N518),IF($B$1="MSolo",IF(N518="","",N518),IF($B$1="Duet",IF(Q518="","",Q518),IF($B$1="Mixed",IF(T518="","",T518),IF(W518="","",W518))))))</f>
        <v>#N/A</v>
      </c>
      <c r="D19" s="3" t="e">
        <f>IF('Coach Card'!$T$5="",IF($D$1="Team",IF(AG18="","",AG18),""),IF($D$1="Team",IF(AD518="","",AD518),""))</f>
        <v>#N/A</v>
      </c>
      <c r="E19" s="3" t="e">
        <f>IF('Coach Card'!$T$5="",IF($D$1="Team",IF(AH18="","",AH18),""),IF($D$1="Team",IF(AE518="","",AE518),""))</f>
        <v>#N/A</v>
      </c>
      <c r="F19" t="s">
        <v>1790</v>
      </c>
      <c r="G19">
        <v>0.9</v>
      </c>
      <c r="L19" s="1" t="s">
        <v>1765</v>
      </c>
      <c r="M19" t="s">
        <v>1791</v>
      </c>
      <c r="N19" s="3">
        <v>0.9</v>
      </c>
      <c r="O19" s="1" t="s">
        <v>1765</v>
      </c>
      <c r="P19" t="s">
        <v>1791</v>
      </c>
      <c r="Q19" s="3">
        <v>0.9</v>
      </c>
      <c r="R19" s="1" t="s">
        <v>1765</v>
      </c>
      <c r="S19" t="s">
        <v>1791</v>
      </c>
      <c r="T19" s="3">
        <v>0.9</v>
      </c>
      <c r="U19" s="1" t="s">
        <v>1765</v>
      </c>
      <c r="V19" t="s">
        <v>1791</v>
      </c>
      <c r="W19" s="3">
        <v>0.9</v>
      </c>
      <c r="X19" s="1" t="s">
        <v>1765</v>
      </c>
      <c r="Y19" t="s">
        <v>1791</v>
      </c>
      <c r="Z19" s="3">
        <v>0.9</v>
      </c>
      <c r="AB19" s="3"/>
      <c r="AD19" s="3"/>
      <c r="AF19" s="3"/>
      <c r="AH19" s="3"/>
      <c r="AK19" t="s">
        <v>1791</v>
      </c>
      <c r="AL19" t="s">
        <v>1791</v>
      </c>
      <c r="AM19">
        <v>1</v>
      </c>
    </row>
    <row r="20" spans="1:39" x14ac:dyDescent="0.35">
      <c r="A20" s="6" t="e">
        <f>IF('Coach Card'!$T$5="",IF($B$1="Solo",IF(L19="","",L19),IF($B$1="MSolo",IF(O19="","",O19),IF($B$1="Duet",IF(R19="","",R19),IF($B$1="Mixed",IF(U19="","",U19),IF(X19="","",X19))))),IF($B$1="Solo",IF(L519="","",L519),IF($B$1="MSolo",IF(L519="","",L519),IF($B$1="Duet",IF(O519="","",O519),IF($B$1="Mixed",IF(R519="","",R519),IF(U519="","",U519))))))</f>
        <v>#N/A</v>
      </c>
      <c r="B20" s="3" t="e">
        <f>IF('Coach Card'!$T$5="",IF($B$1="Solo",IF(M19="","",M19),IF($B$1="MSolo",IF(P19="","",P19),IF($B$1="Duet",IF(S19="","",S19),IF($B$1="Mixed",IF(V19="","",V19),IF(Y19="","",Y19))))),IF($B$1="Solo",IF(M519="","",M519),IF($B$1="MSolo",IF(M519="","",M519),IF($B$1="Duet",IF(P519="","",P519),IF($B$1="Mixed",IF(S519="","",S519),IF(V519="","",V519))))))</f>
        <v>#N/A</v>
      </c>
      <c r="C20" s="3" t="e">
        <f>IF('Coach Card'!$T$5="",IF($B$1="Solo",IF(N19="","",N19),IF($B$1="MSolo",IF(Q19="","",Q19),IF($B$1="Duet",IF(T19="","",T19),IF($B$1="Mixed",IF(W19="","",W19),IF(Z19="","",Z19))))),IF($B$1="Solo",IF(N519="","",N519),IF($B$1="MSolo",IF(N519="","",N519),IF($B$1="Duet",IF(Q519="","",Q519),IF($B$1="Mixed",IF(T519="","",T519),IF(W519="","",W519))))))</f>
        <v>#N/A</v>
      </c>
      <c r="D20" s="3" t="e">
        <f>IF('Coach Card'!$T$5="",IF($D$1="Team",IF(AG19="","",AG19),""),IF($D$1="Team",IF(AD519="","",AD519),""))</f>
        <v>#N/A</v>
      </c>
      <c r="E20" s="3" t="e">
        <f>IF('Coach Card'!$T$5="",IF($D$1="Team",IF(AH19="","",AH19),""),IF($D$1="Team",IF(AE519="","",AE519),""))</f>
        <v>#N/A</v>
      </c>
      <c r="F20" t="s">
        <v>1791</v>
      </c>
      <c r="G20">
        <v>0.9</v>
      </c>
      <c r="L20" s="1" t="s">
        <v>1765</v>
      </c>
      <c r="M20" t="s">
        <v>1792</v>
      </c>
      <c r="N20" s="3">
        <v>0.9</v>
      </c>
      <c r="O20" s="1" t="s">
        <v>1765</v>
      </c>
      <c r="P20" t="s">
        <v>1792</v>
      </c>
      <c r="Q20" s="3">
        <v>0.9</v>
      </c>
      <c r="R20" s="1" t="s">
        <v>1765</v>
      </c>
      <c r="S20" t="s">
        <v>1792</v>
      </c>
      <c r="T20" s="3">
        <v>0.9</v>
      </c>
      <c r="U20" s="1" t="s">
        <v>1765</v>
      </c>
      <c r="V20" t="s">
        <v>1792</v>
      </c>
      <c r="W20" s="3">
        <v>0.9</v>
      </c>
      <c r="X20" s="1" t="s">
        <v>1765</v>
      </c>
      <c r="Y20" t="s">
        <v>1792</v>
      </c>
      <c r="Z20" s="3">
        <v>0.9</v>
      </c>
      <c r="AB20" s="3"/>
      <c r="AD20" s="3"/>
      <c r="AF20" s="3"/>
      <c r="AH20" s="3"/>
      <c r="AK20" t="s">
        <v>1792</v>
      </c>
      <c r="AL20" t="s">
        <v>1792</v>
      </c>
      <c r="AM20">
        <v>1</v>
      </c>
    </row>
    <row r="21" spans="1:39" x14ac:dyDescent="0.35">
      <c r="A21" s="6" t="e">
        <f>IF('Coach Card'!$T$5="",IF($B$1="Solo",IF(L20="","",L20),IF($B$1="MSolo",IF(O20="","",O20),IF($B$1="Duet",IF(R20="","",R20),IF($B$1="Mixed",IF(U20="","",U20),IF(X20="","",X20))))),IF($B$1="Solo",IF(L520="","",L520),IF($B$1="MSolo",IF(L520="","",L520),IF($B$1="Duet",IF(O520="","",O520),IF($B$1="Mixed",IF(R520="","",R520),IF(U520="","",U520))))))</f>
        <v>#N/A</v>
      </c>
      <c r="B21" s="3" t="e">
        <f>IF('Coach Card'!$T$5="",IF($B$1="Solo",IF(M20="","",M20),IF($B$1="MSolo",IF(P20="","",P20),IF($B$1="Duet",IF(S20="","",S20),IF($B$1="Mixed",IF(V20="","",V20),IF(Y20="","",Y20))))),IF($B$1="Solo",IF(M520="","",M520),IF($B$1="MSolo",IF(M520="","",M520),IF($B$1="Duet",IF(P520="","",P520),IF($B$1="Mixed",IF(S520="","",S520),IF(V520="","",V520))))))</f>
        <v>#N/A</v>
      </c>
      <c r="C21" s="3" t="e">
        <f>IF('Coach Card'!$T$5="",IF($B$1="Solo",IF(N20="","",N20),IF($B$1="MSolo",IF(Q20="","",Q20),IF($B$1="Duet",IF(T20="","",T20),IF($B$1="Mixed",IF(W20="","",W20),IF(Z20="","",Z20))))),IF($B$1="Solo",IF(N520="","",N520),IF($B$1="MSolo",IF(N520="","",N520),IF($B$1="Duet",IF(Q520="","",Q520),IF($B$1="Mixed",IF(T520="","",T520),IF(W520="","",W520))))))</f>
        <v>#N/A</v>
      </c>
      <c r="D21" s="3" t="e">
        <f>IF('Coach Card'!$T$5="",IF($D$1="Team",IF(AG20="","",AG20),""),IF($D$1="Team",IF(AD520="","",AD520),""))</f>
        <v>#N/A</v>
      </c>
      <c r="E21" s="3" t="e">
        <f>IF('Coach Card'!$T$5="",IF($D$1="Team",IF(AH20="","",AH20),""),IF($D$1="Team",IF(AE520="","",AE520),""))</f>
        <v>#N/A</v>
      </c>
      <c r="F21" t="s">
        <v>1792</v>
      </c>
      <c r="G21">
        <v>0.9</v>
      </c>
      <c r="L21" s="1" t="s">
        <v>1765</v>
      </c>
      <c r="M21" t="s">
        <v>1793</v>
      </c>
      <c r="N21" s="3">
        <v>1.2</v>
      </c>
      <c r="O21" s="1" t="s">
        <v>1765</v>
      </c>
      <c r="P21" t="s">
        <v>1793</v>
      </c>
      <c r="Q21" s="3">
        <v>1.2</v>
      </c>
      <c r="R21" s="1" t="s">
        <v>1765</v>
      </c>
      <c r="S21" t="s">
        <v>1793</v>
      </c>
      <c r="T21" s="3">
        <v>1.2</v>
      </c>
      <c r="U21" s="1" t="s">
        <v>1765</v>
      </c>
      <c r="V21" t="s">
        <v>1793</v>
      </c>
      <c r="W21" s="3">
        <v>1.2</v>
      </c>
      <c r="X21" s="1" t="s">
        <v>1765</v>
      </c>
      <c r="Y21" t="s">
        <v>1793</v>
      </c>
      <c r="Z21" s="3">
        <v>1.2</v>
      </c>
      <c r="AB21" s="3"/>
      <c r="AD21" s="3"/>
      <c r="AF21" s="3"/>
      <c r="AH21" s="3"/>
      <c r="AK21" t="s">
        <v>1793</v>
      </c>
      <c r="AL21" t="s">
        <v>1793</v>
      </c>
      <c r="AM21">
        <v>1</v>
      </c>
    </row>
    <row r="22" spans="1:39" x14ac:dyDescent="0.35">
      <c r="A22" s="6" t="e">
        <f>IF('Coach Card'!$T$5="",IF($B$1="Solo",IF(L21="","",L21),IF($B$1="MSolo",IF(O21="","",O21),IF($B$1="Duet",IF(R21="","",R21),IF($B$1="Mixed",IF(U21="","",U21),IF(X21="","",X21))))),IF($B$1="Solo",IF(L521="","",L521),IF($B$1="MSolo",IF(L521="","",L521),IF($B$1="Duet",IF(O521="","",O521),IF($B$1="Mixed",IF(R521="","",R521),IF(U521="","",U521))))))</f>
        <v>#N/A</v>
      </c>
      <c r="B22" s="3" t="e">
        <f>IF('Coach Card'!$T$5="",IF($B$1="Solo",IF(M21="","",M21),IF($B$1="MSolo",IF(P21="","",P21),IF($B$1="Duet",IF(S21="","",S21),IF($B$1="Mixed",IF(V21="","",V21),IF(Y21="","",Y21))))),IF($B$1="Solo",IF(M521="","",M521),IF($B$1="MSolo",IF(M521="","",M521),IF($B$1="Duet",IF(P521="","",P521),IF($B$1="Mixed",IF(S521="","",S521),IF(V521="","",V521))))))</f>
        <v>#N/A</v>
      </c>
      <c r="C22" s="3" t="e">
        <f>IF('Coach Card'!$T$5="",IF($B$1="Solo",IF(N21="","",N21),IF($B$1="MSolo",IF(Q21="","",Q21),IF($B$1="Duet",IF(T21="","",T21),IF($B$1="Mixed",IF(W21="","",W21),IF(Z21="","",Z21))))),IF($B$1="Solo",IF(N521="","",N521),IF($B$1="MSolo",IF(N521="","",N521),IF($B$1="Duet",IF(Q521="","",Q521),IF($B$1="Mixed",IF(T521="","",T521),IF(W521="","",W521))))))</f>
        <v>#N/A</v>
      </c>
      <c r="D22" s="3" t="e">
        <f>IF('Coach Card'!$T$5="",IF($D$1="Team",IF(AG21="","",AG21),""),IF($D$1="Team",IF(AD521="","",AD521),""))</f>
        <v>#N/A</v>
      </c>
      <c r="E22" s="3" t="e">
        <f>IF('Coach Card'!$T$5="",IF($D$1="Team",IF(AH21="","",AH21),""),IF($D$1="Team",IF(AE521="","",AE521),""))</f>
        <v>#N/A</v>
      </c>
      <c r="F22" t="s">
        <v>1793</v>
      </c>
      <c r="G22">
        <v>1.1000000000000001</v>
      </c>
      <c r="L22" s="1" t="s">
        <v>1765</v>
      </c>
      <c r="M22" t="s">
        <v>1794</v>
      </c>
      <c r="N22" s="3">
        <v>1.2</v>
      </c>
      <c r="O22" s="1" t="s">
        <v>1765</v>
      </c>
      <c r="P22" t="s">
        <v>1794</v>
      </c>
      <c r="Q22" s="3">
        <v>1.2</v>
      </c>
      <c r="R22" s="1" t="s">
        <v>1765</v>
      </c>
      <c r="S22" t="s">
        <v>1794</v>
      </c>
      <c r="T22" s="3">
        <v>1.2</v>
      </c>
      <c r="U22" s="1" t="s">
        <v>1765</v>
      </c>
      <c r="V22" t="s">
        <v>1794</v>
      </c>
      <c r="W22" s="3">
        <v>1.2</v>
      </c>
      <c r="X22" s="1" t="s">
        <v>1765</v>
      </c>
      <c r="Y22" t="s">
        <v>1794</v>
      </c>
      <c r="Z22" s="3">
        <v>1.2</v>
      </c>
      <c r="AB22" s="3"/>
      <c r="AD22" s="3"/>
      <c r="AF22" s="3"/>
      <c r="AH22" s="3"/>
      <c r="AK22" t="s">
        <v>1794</v>
      </c>
      <c r="AL22" t="s">
        <v>1794</v>
      </c>
      <c r="AM22">
        <v>1</v>
      </c>
    </row>
    <row r="23" spans="1:39" x14ac:dyDescent="0.35">
      <c r="A23" s="6" t="e">
        <f>IF('Coach Card'!$T$5="",IF($B$1="Solo",IF(L22="","",L22),IF($B$1="MSolo",IF(O22="","",O22),IF($B$1="Duet",IF(R22="","",R22),IF($B$1="Mixed",IF(U22="","",U22),IF(X22="","",X22))))),IF($B$1="Solo",IF(L522="","",L522),IF($B$1="MSolo",IF(L522="","",L522),IF($B$1="Duet",IF(O522="","",O522),IF($B$1="Mixed",IF(R522="","",R522),IF(U522="","",U522))))))</f>
        <v>#N/A</v>
      </c>
      <c r="B23" s="3" t="e">
        <f>IF('Coach Card'!$T$5="",IF($B$1="Solo",IF(M22="","",M22),IF($B$1="MSolo",IF(P22="","",P22),IF($B$1="Duet",IF(S22="","",S22),IF($B$1="Mixed",IF(V22="","",V22),IF(Y22="","",Y22))))),IF($B$1="Solo",IF(M522="","",M522),IF($B$1="MSolo",IF(M522="","",M522),IF($B$1="Duet",IF(P522="","",P522),IF($B$1="Mixed",IF(S522="","",S522),IF(V522="","",V522))))))</f>
        <v>#N/A</v>
      </c>
      <c r="C23" s="3" t="e">
        <f>IF('Coach Card'!$T$5="",IF($B$1="Solo",IF(N22="","",N22),IF($B$1="MSolo",IF(Q22="","",Q22),IF($B$1="Duet",IF(T22="","",T22),IF($B$1="Mixed",IF(W22="","",W22),IF(Z22="","",Z22))))),IF($B$1="Solo",IF(N522="","",N522),IF($B$1="MSolo",IF(N522="","",N522),IF($B$1="Duet",IF(Q522="","",Q522),IF($B$1="Mixed",IF(T522="","",T522),IF(W522="","",W522))))))</f>
        <v>#N/A</v>
      </c>
      <c r="D23" s="3" t="e">
        <f>IF('Coach Card'!$T$5="",IF($D$1="Team",IF(AG22="","",AG22),""),IF($D$1="Team",IF(AD522="","",AD522),""))</f>
        <v>#N/A</v>
      </c>
      <c r="E23" s="3" t="e">
        <f>IF('Coach Card'!$T$5="",IF($D$1="Team",IF(AH22="","",AH22),""),IF($D$1="Team",IF(AE522="","",AE522),""))</f>
        <v>#N/A</v>
      </c>
      <c r="F23" t="s">
        <v>1794</v>
      </c>
      <c r="G23">
        <v>1.1000000000000001</v>
      </c>
      <c r="L23" s="1" t="s">
        <v>1765</v>
      </c>
      <c r="M23" t="s">
        <v>1795</v>
      </c>
      <c r="N23" s="3">
        <v>1.2</v>
      </c>
      <c r="O23" s="1" t="s">
        <v>1765</v>
      </c>
      <c r="P23" t="s">
        <v>1795</v>
      </c>
      <c r="Q23" s="3">
        <v>1.2</v>
      </c>
      <c r="R23" s="1" t="s">
        <v>1765</v>
      </c>
      <c r="S23" t="s">
        <v>1795</v>
      </c>
      <c r="T23" s="3">
        <v>1.2</v>
      </c>
      <c r="U23" s="1" t="s">
        <v>1765</v>
      </c>
      <c r="V23" t="s">
        <v>1795</v>
      </c>
      <c r="W23" s="3">
        <v>1.2</v>
      </c>
      <c r="X23" s="1" t="s">
        <v>1765</v>
      </c>
      <c r="Y23" t="s">
        <v>1795</v>
      </c>
      <c r="Z23" s="3">
        <v>1.2</v>
      </c>
      <c r="AB23" s="3"/>
      <c r="AD23" s="3"/>
      <c r="AF23" s="3"/>
      <c r="AH23" s="3"/>
      <c r="AK23" t="s">
        <v>1795</v>
      </c>
      <c r="AL23" t="s">
        <v>1795</v>
      </c>
      <c r="AM23">
        <v>1</v>
      </c>
    </row>
    <row r="24" spans="1:39" x14ac:dyDescent="0.35">
      <c r="A24" s="6" t="e">
        <f>IF('Coach Card'!$T$5="",IF($B$1="Solo",IF(L23="","",L23),IF($B$1="MSolo",IF(O23="","",O23),IF($B$1="Duet",IF(R23="","",R23),IF($B$1="Mixed",IF(U23="","",U23),IF(X23="","",X23))))),IF($B$1="Solo",IF(L523="","",L523),IF($B$1="MSolo",IF(L523="","",L523),IF($B$1="Duet",IF(O523="","",O523),IF($B$1="Mixed",IF(R523="","",R523),IF(U523="","",U523))))))</f>
        <v>#N/A</v>
      </c>
      <c r="B24" s="3" t="e">
        <f>IF('Coach Card'!$T$5="",IF($B$1="Solo",IF(M23="","",M23),IF($B$1="MSolo",IF(P23="","",P23),IF($B$1="Duet",IF(S23="","",S23),IF($B$1="Mixed",IF(V23="","",V23),IF(Y23="","",Y23))))),IF($B$1="Solo",IF(M523="","",M523),IF($B$1="MSolo",IF(M523="","",M523),IF($B$1="Duet",IF(P523="","",P523),IF($B$1="Mixed",IF(S523="","",S523),IF(V523="","",V523))))))</f>
        <v>#N/A</v>
      </c>
      <c r="C24" s="3" t="e">
        <f>IF('Coach Card'!$T$5="",IF($B$1="Solo",IF(N23="","",N23),IF($B$1="MSolo",IF(Q23="","",Q23),IF($B$1="Duet",IF(T23="","",T23),IF($B$1="Mixed",IF(W23="","",W23),IF(Z23="","",Z23))))),IF($B$1="Solo",IF(N523="","",N523),IF($B$1="MSolo",IF(N523="","",N523),IF($B$1="Duet",IF(Q523="","",Q523),IF($B$1="Mixed",IF(T523="","",T523),IF(W523="","",W523))))))</f>
        <v>#N/A</v>
      </c>
      <c r="D24" s="3" t="e">
        <f>IF('Coach Card'!$T$5="",IF($D$1="Team",IF(AG23="","",AG23),""),IF($D$1="Team",IF(AD523="","",AD523),""))</f>
        <v>#N/A</v>
      </c>
      <c r="E24" s="3" t="e">
        <f>IF('Coach Card'!$T$5="",IF($D$1="Team",IF(AH23="","",AH23),""),IF($D$1="Team",IF(AE523="","",AE523),""))</f>
        <v>#N/A</v>
      </c>
      <c r="F24" t="s">
        <v>1795</v>
      </c>
      <c r="G24">
        <v>1.1000000000000001</v>
      </c>
      <c r="L24" s="1" t="s">
        <v>1765</v>
      </c>
      <c r="M24" t="s">
        <v>54</v>
      </c>
      <c r="N24" s="3">
        <v>1.6</v>
      </c>
      <c r="O24" s="1" t="s">
        <v>1765</v>
      </c>
      <c r="P24" t="s">
        <v>54</v>
      </c>
      <c r="Q24" s="3">
        <v>1.6</v>
      </c>
      <c r="R24" s="1" t="s">
        <v>1765</v>
      </c>
      <c r="S24" t="s">
        <v>54</v>
      </c>
      <c r="T24" s="3">
        <v>1.6</v>
      </c>
      <c r="U24" s="1" t="s">
        <v>1765</v>
      </c>
      <c r="V24" t="s">
        <v>54</v>
      </c>
      <c r="W24" s="3">
        <v>1.6</v>
      </c>
      <c r="X24" s="1" t="s">
        <v>1765</v>
      </c>
      <c r="Y24" t="s">
        <v>54</v>
      </c>
      <c r="Z24" s="3">
        <v>1.6</v>
      </c>
      <c r="AB24" s="3"/>
      <c r="AD24" s="3"/>
      <c r="AF24" s="3"/>
      <c r="AH24" s="3"/>
      <c r="AK24" t="s">
        <v>54</v>
      </c>
      <c r="AL24" t="s">
        <v>54</v>
      </c>
      <c r="AM24">
        <v>1</v>
      </c>
    </row>
    <row r="25" spans="1:39" x14ac:dyDescent="0.35">
      <c r="A25" s="6" t="e">
        <f>IF('Coach Card'!$T$5="",IF($B$1="Solo",IF(L24="","",L24),IF($B$1="MSolo",IF(O24="","",O24),IF($B$1="Duet",IF(R24="","",R24),IF($B$1="Mixed",IF(U24="","",U24),IF(X24="","",X24))))),IF($B$1="Solo",IF(L524="","",L524),IF($B$1="MSolo",IF(L524="","",L524),IF($B$1="Duet",IF(O524="","",O524),IF($B$1="Mixed",IF(R524="","",R524),IF(U524="","",U524))))))</f>
        <v>#N/A</v>
      </c>
      <c r="B25" s="3" t="e">
        <f>IF('Coach Card'!$T$5="",IF($B$1="Solo",IF(M24="","",M24),IF($B$1="MSolo",IF(P24="","",P24),IF($B$1="Duet",IF(S24="","",S24),IF($B$1="Mixed",IF(V24="","",V24),IF(Y24="","",Y24))))),IF($B$1="Solo",IF(M524="","",M524),IF($B$1="MSolo",IF(M524="","",M524),IF($B$1="Duet",IF(P524="","",P524),IF($B$1="Mixed",IF(S524="","",S524),IF(V524="","",V524))))))</f>
        <v>#N/A</v>
      </c>
      <c r="C25" s="3" t="e">
        <f>IF('Coach Card'!$T$5="",IF($B$1="Solo",IF(N24="","",N24),IF($B$1="MSolo",IF(Q24="","",Q24),IF($B$1="Duet",IF(T24="","",T24),IF($B$1="Mixed",IF(W24="","",W24),IF(Z24="","",Z24))))),IF($B$1="Solo",IF(N524="","",N524),IF($B$1="MSolo",IF(N524="","",N524),IF($B$1="Duet",IF(Q524="","",Q524),IF($B$1="Mixed",IF(T524="","",T524),IF(W524="","",W524))))))</f>
        <v>#N/A</v>
      </c>
      <c r="D25" s="3" t="e">
        <f>IF('Coach Card'!$T$5="",IF($D$1="Team",IF(AG24="","",AG24),""),IF($D$1="Team",IF(AD524="","",AD524),""))</f>
        <v>#N/A</v>
      </c>
      <c r="E25" s="3" t="e">
        <f>IF('Coach Card'!$T$5="",IF($D$1="Team",IF(AH24="","",AH24),""),IF($D$1="Team",IF(AE524="","",AE524),""))</f>
        <v>#N/A</v>
      </c>
      <c r="F25" t="s">
        <v>54</v>
      </c>
      <c r="G25">
        <v>1.5</v>
      </c>
      <c r="L25" s="1" t="s">
        <v>1765</v>
      </c>
      <c r="M25" t="s">
        <v>55</v>
      </c>
      <c r="N25" s="3">
        <v>1.9</v>
      </c>
      <c r="O25" s="1" t="s">
        <v>1765</v>
      </c>
      <c r="P25" t="s">
        <v>55</v>
      </c>
      <c r="Q25" s="3">
        <v>1.9</v>
      </c>
      <c r="R25" s="1" t="s">
        <v>1765</v>
      </c>
      <c r="S25" t="s">
        <v>55</v>
      </c>
      <c r="T25" s="3">
        <v>1.9</v>
      </c>
      <c r="U25" s="1" t="s">
        <v>1765</v>
      </c>
      <c r="V25" t="s">
        <v>55</v>
      </c>
      <c r="W25" s="3">
        <v>1.9</v>
      </c>
      <c r="X25" s="1" t="s">
        <v>1765</v>
      </c>
      <c r="Y25" t="s">
        <v>55</v>
      </c>
      <c r="Z25" s="3">
        <v>1.9</v>
      </c>
      <c r="AB25" s="3"/>
      <c r="AD25" s="3"/>
      <c r="AF25" s="3"/>
      <c r="AH25" s="3"/>
      <c r="AK25" t="s">
        <v>55</v>
      </c>
      <c r="AL25" t="s">
        <v>55</v>
      </c>
      <c r="AM25">
        <v>1</v>
      </c>
    </row>
    <row r="26" spans="1:39" x14ac:dyDescent="0.35">
      <c r="A26" s="6" t="e">
        <f>IF('Coach Card'!$T$5="",IF($B$1="Solo",IF(L25="","",L25),IF($B$1="MSolo",IF(O25="","",O25),IF($B$1="Duet",IF(R25="","",R25),IF($B$1="Mixed",IF(U25="","",U25),IF(X25="","",X25))))),IF($B$1="Solo",IF(L525="","",L525),IF($B$1="MSolo",IF(L525="","",L525),IF($B$1="Duet",IF(O525="","",O525),IF($B$1="Mixed",IF(R525="","",R525),IF(U525="","",U525))))))</f>
        <v>#N/A</v>
      </c>
      <c r="B26" s="3" t="e">
        <f>IF('Coach Card'!$T$5="",IF($B$1="Solo",IF(M25="","",M25),IF($B$1="MSolo",IF(P25="","",P25),IF($B$1="Duet",IF(S25="","",S25),IF($B$1="Mixed",IF(V25="","",V25),IF(Y25="","",Y25))))),IF($B$1="Solo",IF(M525="","",M525),IF($B$1="MSolo",IF(M525="","",M525),IF($B$1="Duet",IF(P525="","",P525),IF($B$1="Mixed",IF(S525="","",S525),IF(V525="","",V525))))))</f>
        <v>#N/A</v>
      </c>
      <c r="C26" s="3" t="e">
        <f>IF('Coach Card'!$T$5="",IF($B$1="Solo",IF(N25="","",N25),IF($B$1="MSolo",IF(Q25="","",Q25),IF($B$1="Duet",IF(T25="","",T25),IF($B$1="Mixed",IF(W25="","",W25),IF(Z25="","",Z25))))),IF($B$1="Solo",IF(N525="","",N525),IF($B$1="MSolo",IF(N525="","",N525),IF($B$1="Duet",IF(Q525="","",Q525),IF($B$1="Mixed",IF(T525="","",T525),IF(W525="","",W525))))))</f>
        <v>#N/A</v>
      </c>
      <c r="D26" s="3" t="e">
        <f>IF('Coach Card'!$T$5="",IF($D$1="Team",IF(AG25="","",AG25),""),IF($D$1="Team",IF(AD525="","",AD525),""))</f>
        <v>#N/A</v>
      </c>
      <c r="E26" s="3" t="e">
        <f>IF('Coach Card'!$T$5="",IF($D$1="Team",IF(AH25="","",AH25),""),IF($D$1="Team",IF(AE525="","",AE525),""))</f>
        <v>#N/A</v>
      </c>
      <c r="F26" t="s">
        <v>55</v>
      </c>
      <c r="G26">
        <v>1.7</v>
      </c>
      <c r="L26" s="1" t="s">
        <v>1765</v>
      </c>
      <c r="M26" t="s">
        <v>2452</v>
      </c>
      <c r="N26" s="3">
        <v>2</v>
      </c>
      <c r="O26" s="1" t="s">
        <v>1765</v>
      </c>
      <c r="P26" t="s">
        <v>2452</v>
      </c>
      <c r="Q26" s="3">
        <v>2</v>
      </c>
      <c r="R26" s="1" t="s">
        <v>1765</v>
      </c>
      <c r="S26" t="s">
        <v>2452</v>
      </c>
      <c r="T26" s="3">
        <v>2</v>
      </c>
      <c r="U26" s="1" t="s">
        <v>1765</v>
      </c>
      <c r="V26" t="s">
        <v>2452</v>
      </c>
      <c r="W26" s="3">
        <v>2</v>
      </c>
      <c r="X26" s="1" t="s">
        <v>1765</v>
      </c>
      <c r="Y26" t="s">
        <v>2452</v>
      </c>
      <c r="Z26" s="3">
        <v>2</v>
      </c>
      <c r="AB26" s="3"/>
      <c r="AD26" s="3"/>
      <c r="AF26" s="3"/>
      <c r="AH26" s="3"/>
      <c r="AK26" t="s">
        <v>2452</v>
      </c>
      <c r="AL26" t="s">
        <v>2452</v>
      </c>
      <c r="AM26">
        <v>1</v>
      </c>
    </row>
    <row r="27" spans="1:39" x14ac:dyDescent="0.35">
      <c r="A27" s="6" t="e">
        <f>IF('Coach Card'!$T$5="",IF($B$1="Solo",IF(L26="","",L26),IF($B$1="MSolo",IF(O26="","",O26),IF($B$1="Duet",IF(R26="","",R26),IF($B$1="Mixed",IF(U26="","",U26),IF(X26="","",X26))))),IF($B$1="Solo",IF(L526="","",L526),IF($B$1="MSolo",IF(L526="","",L526),IF($B$1="Duet",IF(O526="","",O526),IF($B$1="Mixed",IF(R526="","",R526),IF(U526="","",U526))))))</f>
        <v>#N/A</v>
      </c>
      <c r="B27" s="3" t="e">
        <f>IF('Coach Card'!$T$5="",IF($B$1="Solo",IF(M26="","",M26),IF($B$1="MSolo",IF(P26="","",P26),IF($B$1="Duet",IF(S26="","",S26),IF($B$1="Mixed",IF(V26="","",V26),IF(Y26="","",Y26))))),IF($B$1="Solo",IF(M526="","",M526),IF($B$1="MSolo",IF(M526="","",M526),IF($B$1="Duet",IF(P526="","",P526),IF($B$1="Mixed",IF(S526="","",S526),IF(V526="","",V526))))))</f>
        <v>#N/A</v>
      </c>
      <c r="C27" s="3" t="e">
        <f>IF('Coach Card'!$T$5="",IF($B$1="Solo",IF(N26="","",N26),IF($B$1="MSolo",IF(Q26="","",Q26),IF($B$1="Duet",IF(T26="","",T26),IF($B$1="Mixed",IF(W26="","",W26),IF(Z26="","",Z26))))),IF($B$1="Solo",IF(N526="","",N526),IF($B$1="MSolo",IF(N526="","",N526),IF($B$1="Duet",IF(Q526="","",Q526),IF($B$1="Mixed",IF(T526="","",T526),IF(W526="","",W526))))))</f>
        <v>#N/A</v>
      </c>
      <c r="D27" s="3" t="e">
        <f>IF('Coach Card'!$T$5="",IF($D$1="Team",IF(AG26="","",AG26),""),IF($D$1="Team",IF(AD526="","",AD526),""))</f>
        <v>#N/A</v>
      </c>
      <c r="E27" s="3" t="e">
        <f>IF('Coach Card'!$T$5="",IF($D$1="Team",IF(AH26="","",AH26),""),IF($D$1="Team",IF(AE526="","",AE526),""))</f>
        <v>#N/A</v>
      </c>
      <c r="F27" t="s">
        <v>1796</v>
      </c>
      <c r="G27">
        <v>2</v>
      </c>
      <c r="L27" s="1" t="s">
        <v>1765</v>
      </c>
      <c r="M27" t="s">
        <v>2453</v>
      </c>
      <c r="N27" s="3">
        <v>2.2999999999999998</v>
      </c>
      <c r="O27" s="1" t="s">
        <v>1765</v>
      </c>
      <c r="P27" t="s">
        <v>2453</v>
      </c>
      <c r="Q27" s="3">
        <v>2.2999999999999998</v>
      </c>
      <c r="R27" s="1" t="s">
        <v>1765</v>
      </c>
      <c r="S27" t="s">
        <v>2453</v>
      </c>
      <c r="T27" s="3">
        <v>2.2999999999999998</v>
      </c>
      <c r="U27" s="1" t="s">
        <v>1765</v>
      </c>
      <c r="V27" t="s">
        <v>2453</v>
      </c>
      <c r="W27" s="3">
        <v>2.2999999999999998</v>
      </c>
      <c r="X27" s="1" t="s">
        <v>1765</v>
      </c>
      <c r="Y27" t="s">
        <v>2453</v>
      </c>
      <c r="Z27" s="3">
        <v>2.2999999999999998</v>
      </c>
      <c r="AB27" s="3"/>
      <c r="AD27" s="3"/>
      <c r="AF27" s="3"/>
      <c r="AH27" s="3"/>
      <c r="AK27" t="s">
        <v>1796</v>
      </c>
      <c r="AL27" t="s">
        <v>1796</v>
      </c>
      <c r="AM27">
        <v>1</v>
      </c>
    </row>
    <row r="28" spans="1:39" x14ac:dyDescent="0.35">
      <c r="A28" s="6" t="e">
        <f>IF('Coach Card'!$T$5="",IF($B$1="Solo",IF(L27="","",L27),IF($B$1="MSolo",IF(O27="","",O27),IF($B$1="Duet",IF(R27="","",R27),IF($B$1="Mixed",IF(U27="","",U27),IF(X27="","",X27))))),IF($B$1="Solo",IF(L527="","",L527),IF($B$1="MSolo",IF(L527="","",L527),IF($B$1="Duet",IF(O527="","",O527),IF($B$1="Mixed",IF(R527="","",R527),IF(U527="","",U527))))))</f>
        <v>#N/A</v>
      </c>
      <c r="B28" s="3" t="e">
        <f>IF('Coach Card'!$T$5="",IF($B$1="Solo",IF(M27="","",M27),IF($B$1="MSolo",IF(P27="","",P27),IF($B$1="Duet",IF(S27="","",S27),IF($B$1="Mixed",IF(V27="","",V27),IF(Y27="","",Y27))))),IF($B$1="Solo",IF(M527="","",M527),IF($B$1="MSolo",IF(M527="","",M527),IF($B$1="Duet",IF(P527="","",P527),IF($B$1="Mixed",IF(S527="","",S527),IF(V527="","",V527))))))</f>
        <v>#N/A</v>
      </c>
      <c r="C28" s="3" t="e">
        <f>IF('Coach Card'!$T$5="",IF($B$1="Solo",IF(N27="","",N27),IF($B$1="MSolo",IF(Q27="","",Q27),IF($B$1="Duet",IF(T27="","",T27),IF($B$1="Mixed",IF(W27="","",W27),IF(Z27="","",Z27))))),IF($B$1="Solo",IF(N527="","",N527),IF($B$1="MSolo",IF(N527="","",N527),IF($B$1="Duet",IF(Q527="","",Q527),IF($B$1="Mixed",IF(T527="","",T527),IF(W527="","",W527))))))</f>
        <v>#N/A</v>
      </c>
      <c r="D28" s="3" t="e">
        <f>IF('Coach Card'!$T$5="",IF($D$1="Team",IF(AG27="","",AG27),""),IF($D$1="Team",IF(AD527="","",AD527),""))</f>
        <v>#N/A</v>
      </c>
      <c r="E28" s="3" t="e">
        <f>IF('Coach Card'!$T$5="",IF($D$1="Team",IF(AH27="","",AH27),""),IF($D$1="Team",IF(AE527="","",AE527),""))</f>
        <v>#N/A</v>
      </c>
      <c r="F28" t="s">
        <v>1797</v>
      </c>
      <c r="G28">
        <v>2</v>
      </c>
      <c r="L28" s="1" t="s">
        <v>1766</v>
      </c>
      <c r="M28" t="s">
        <v>1633</v>
      </c>
      <c r="N28" s="3">
        <v>0.15</v>
      </c>
      <c r="O28" s="1" t="s">
        <v>1766</v>
      </c>
      <c r="P28" t="s">
        <v>1633</v>
      </c>
      <c r="Q28" s="3">
        <v>0.15</v>
      </c>
      <c r="R28" s="1" t="s">
        <v>1766</v>
      </c>
      <c r="S28" t="s">
        <v>1633</v>
      </c>
      <c r="T28" s="3">
        <v>0.15</v>
      </c>
      <c r="U28" s="1" t="s">
        <v>1766</v>
      </c>
      <c r="V28" t="s">
        <v>1633</v>
      </c>
      <c r="W28" s="3">
        <v>0.15</v>
      </c>
      <c r="X28" s="1" t="s">
        <v>1766</v>
      </c>
      <c r="Y28" t="s">
        <v>1633</v>
      </c>
      <c r="Z28" s="3">
        <v>0.15</v>
      </c>
      <c r="AB28" s="3"/>
      <c r="AD28" s="3"/>
      <c r="AF28" s="3"/>
      <c r="AH28" s="3"/>
      <c r="AK28" t="s">
        <v>1797</v>
      </c>
      <c r="AL28" t="s">
        <v>1797</v>
      </c>
    </row>
    <row r="29" spans="1:39" x14ac:dyDescent="0.35">
      <c r="A29" s="6" t="e">
        <f>IF('Coach Card'!$T$5="",IF($B$1="Solo",IF(L28="","",L28),IF($B$1="MSolo",IF(O28="","",O28),IF($B$1="Duet",IF(R28="","",R28),IF($B$1="Mixed",IF(U28="","",U28),IF(X28="","",X28))))),IF($B$1="Solo",IF(L528="","",L528),IF($B$1="MSolo",IF(L528="","",L528),IF($B$1="Duet",IF(O528="","",O528),IF($B$1="Mixed",IF(R528="","",R528),IF(U528="","",U528))))))</f>
        <v>#N/A</v>
      </c>
      <c r="B29" s="3" t="e">
        <f>IF('Coach Card'!$T$5="",IF($B$1="Solo",IF(M28="","",M28),IF($B$1="MSolo",IF(P28="","",P28),IF($B$1="Duet",IF(S28="","",S28),IF($B$1="Mixed",IF(V28="","",V28),IF(Y28="","",Y28))))),IF($B$1="Solo",IF(M528="","",M528),IF($B$1="MSolo",IF(M528="","",M528),IF($B$1="Duet",IF(P528="","",P528),IF($B$1="Mixed",IF(S528="","",S528),IF(V528="","",V528))))))</f>
        <v>#N/A</v>
      </c>
      <c r="C29" s="3" t="e">
        <f>IF('Coach Card'!$T$5="",IF($B$1="Solo",IF(N28="","",N28),IF($B$1="MSolo",IF(Q28="","",Q28),IF($B$1="Duet",IF(T28="","",T28),IF($B$1="Mixed",IF(W28="","",W28),IF(Z28="","",Z28))))),IF($B$1="Solo",IF(N528="","",N528),IF($B$1="MSolo",IF(N528="","",N528),IF($B$1="Duet",IF(Q528="","",Q528),IF($B$1="Mixed",IF(T528="","",T528),IF(W528="","",W528))))))</f>
        <v>#N/A</v>
      </c>
      <c r="D29" s="3" t="e">
        <f>IF('Coach Card'!$T$5="",IF($D$1="Team",IF(AG28="","",AG28),""),IF($D$1="Team",IF(AD528="","",AD528),""))</f>
        <v>#N/A</v>
      </c>
      <c r="E29" s="3" t="e">
        <f>IF('Coach Card'!$T$5="",IF($D$1="Team",IF(AH28="","",AH28),""),IF($D$1="Team",IF(AE528="","",AE528),""))</f>
        <v>#N/A</v>
      </c>
      <c r="F29" t="s">
        <v>1702</v>
      </c>
      <c r="G29">
        <v>0.1</v>
      </c>
      <c r="L29" s="1" t="s">
        <v>1766</v>
      </c>
      <c r="M29" t="s">
        <v>1634</v>
      </c>
      <c r="N29" s="3">
        <v>0.4</v>
      </c>
      <c r="O29" s="1" t="s">
        <v>1766</v>
      </c>
      <c r="P29" t="s">
        <v>1634</v>
      </c>
      <c r="Q29" s="3">
        <v>0.4</v>
      </c>
      <c r="R29" s="1" t="s">
        <v>1766</v>
      </c>
      <c r="S29" t="s">
        <v>1634</v>
      </c>
      <c r="T29" s="3">
        <v>0.4</v>
      </c>
      <c r="U29" s="1" t="s">
        <v>1766</v>
      </c>
      <c r="V29" t="s">
        <v>1634</v>
      </c>
      <c r="W29" s="3">
        <v>0.4</v>
      </c>
      <c r="X29" s="1" t="s">
        <v>1766</v>
      </c>
      <c r="Y29" t="s">
        <v>1634</v>
      </c>
      <c r="Z29" s="3">
        <v>0.4</v>
      </c>
      <c r="AB29" s="3"/>
      <c r="AD29" s="3"/>
      <c r="AF29" s="3"/>
      <c r="AH29" s="3"/>
      <c r="AK29" t="s">
        <v>2453</v>
      </c>
      <c r="AL29" t="s">
        <v>2453</v>
      </c>
    </row>
    <row r="30" spans="1:39" x14ac:dyDescent="0.35">
      <c r="A30" s="6" t="e">
        <f>IF('Coach Card'!$T$5="",IF($B$1="Solo",IF(L29="","",L29),IF($B$1="MSolo",IF(O29="","",O29),IF($B$1="Duet",IF(R29="","",R29),IF($B$1="Mixed",IF(U29="","",U29),IF(X29="","",X29))))),IF($B$1="Solo",IF(L529="","",L529),IF($B$1="MSolo",IF(L529="","",L529),IF($B$1="Duet",IF(O529="","",O529),IF($B$1="Mixed",IF(R529="","",R529),IF(U529="","",U529))))))</f>
        <v>#N/A</v>
      </c>
      <c r="B30" s="3" t="e">
        <f>IF('Coach Card'!$T$5="",IF($B$1="Solo",IF(M29="","",M29),IF($B$1="MSolo",IF(P29="","",P29),IF($B$1="Duet",IF(S29="","",S29),IF($B$1="Mixed",IF(V29="","",V29),IF(Y29="","",Y29))))),IF($B$1="Solo",IF(M529="","",M529),IF($B$1="MSolo",IF(M529="","",M529),IF($B$1="Duet",IF(P529="","",P529),IF($B$1="Mixed",IF(S529="","",S529),IF(V529="","",V529))))))</f>
        <v>#N/A</v>
      </c>
      <c r="C30" s="3" t="e">
        <f>IF('Coach Card'!$T$5="",IF($B$1="Solo",IF(N29="","",N29),IF($B$1="MSolo",IF(Q29="","",Q29),IF($B$1="Duet",IF(T29="","",T29),IF($B$1="Mixed",IF(W29="","",W29),IF(Z29="","",Z29))))),IF($B$1="Solo",IF(N529="","",N529),IF($B$1="MSolo",IF(N529="","",N529),IF($B$1="Duet",IF(Q529="","",Q529),IF($B$1="Mixed",IF(T529="","",T529),IF(W529="","",W529))))))</f>
        <v>#N/A</v>
      </c>
      <c r="D30" s="3" t="e">
        <f>IF('Coach Card'!$T$5="",IF($D$1="Team",IF(AG29="","",AG29),""),IF($D$1="Team",IF(AD529="","",AD529),""))</f>
        <v>#N/A</v>
      </c>
      <c r="E30" s="3" t="e">
        <f>IF('Coach Card'!$T$5="",IF($D$1="Team",IF(AH29="","",AH29),""),IF($D$1="Team",IF(AE529="","",AE529),""))</f>
        <v>#N/A</v>
      </c>
      <c r="F30" t="s">
        <v>1834</v>
      </c>
      <c r="G30">
        <v>0.2</v>
      </c>
      <c r="L30" s="1" t="s">
        <v>1766</v>
      </c>
      <c r="M30" t="s">
        <v>1635</v>
      </c>
      <c r="N30" s="3">
        <v>0.45</v>
      </c>
      <c r="O30" s="1" t="s">
        <v>1766</v>
      </c>
      <c r="P30" t="s">
        <v>1635</v>
      </c>
      <c r="Q30" s="3">
        <v>0.45</v>
      </c>
      <c r="R30" s="1" t="s">
        <v>1766</v>
      </c>
      <c r="S30" t="s">
        <v>1635</v>
      </c>
      <c r="T30" s="3">
        <v>0.45</v>
      </c>
      <c r="U30" s="1" t="s">
        <v>1766</v>
      </c>
      <c r="V30" t="s">
        <v>1635</v>
      </c>
      <c r="W30" s="3">
        <v>0.45</v>
      </c>
      <c r="X30" s="1" t="s">
        <v>1766</v>
      </c>
      <c r="Y30" t="s">
        <v>1635</v>
      </c>
      <c r="Z30" s="3">
        <v>0.45</v>
      </c>
      <c r="AB30" s="3"/>
      <c r="AD30" s="3"/>
      <c r="AF30" s="3"/>
      <c r="AH30" s="3"/>
      <c r="AK30" t="s">
        <v>1633</v>
      </c>
      <c r="AL30" t="s">
        <v>1633</v>
      </c>
      <c r="AM30">
        <v>1</v>
      </c>
    </row>
    <row r="31" spans="1:39" x14ac:dyDescent="0.35">
      <c r="A31" s="6" t="e">
        <f>IF('Coach Card'!$T$5="",IF($B$1="Solo",IF(L30="","",L30),IF($B$1="MSolo",IF(O30="","",O30),IF($B$1="Duet",IF(R30="","",R30),IF($B$1="Mixed",IF(U30="","",U30),IF(X30="","",X30))))),IF($B$1="Solo",IF(L530="","",L530),IF($B$1="MSolo",IF(L530="","",L530),IF($B$1="Duet",IF(O530="","",O530),IF($B$1="Mixed",IF(R530="","",R530),IF(U530="","",U530))))))</f>
        <v>#N/A</v>
      </c>
      <c r="B31" s="3" t="e">
        <f>IF('Coach Card'!$T$5="",IF($B$1="Solo",IF(M30="","",M30),IF($B$1="MSolo",IF(P30="","",P30),IF($B$1="Duet",IF(S30="","",S30),IF($B$1="Mixed",IF(V30="","",V30),IF(Y30="","",Y30))))),IF($B$1="Solo",IF(M530="","",M530),IF($B$1="MSolo",IF(M530="","",M530),IF($B$1="Duet",IF(P530="","",P530),IF($B$1="Mixed",IF(S530="","",S530),IF(V530="","",V530))))))</f>
        <v>#N/A</v>
      </c>
      <c r="C31" s="3" t="e">
        <f>IF('Coach Card'!$T$5="",IF($B$1="Solo",IF(N30="","",N30),IF($B$1="MSolo",IF(Q30="","",Q30),IF($B$1="Duet",IF(T30="","",T30),IF($B$1="Mixed",IF(W30="","",W30),IF(Z30="","",Z30))))),IF($B$1="Solo",IF(N530="","",N530),IF($B$1="MSolo",IF(N530="","",N530),IF($B$1="Duet",IF(Q530="","",Q530),IF($B$1="Mixed",IF(T530="","",T530),IF(W530="","",W530))))))</f>
        <v>#N/A</v>
      </c>
      <c r="D31" s="3" t="e">
        <f>IF('Coach Card'!$T$5="",IF($D$1="Team",IF(AG30="","",AG30),""),IF($D$1="Team",IF(AD530="","",AD530),""))</f>
        <v>#N/A</v>
      </c>
      <c r="E31" s="3" t="e">
        <f>IF('Coach Card'!$T$5="",IF($D$1="Team",IF(AH30="","",AH30),""),IF($D$1="Team",IF(AE530="","",AE530),""))</f>
        <v>#N/A</v>
      </c>
      <c r="F31" t="s">
        <v>1835</v>
      </c>
      <c r="G31">
        <v>0.2</v>
      </c>
      <c r="L31" s="1" t="s">
        <v>1766</v>
      </c>
      <c r="M31" t="s">
        <v>1636</v>
      </c>
      <c r="N31" s="3">
        <v>0.4</v>
      </c>
      <c r="O31" s="1" t="s">
        <v>1766</v>
      </c>
      <c r="P31" t="s">
        <v>1636</v>
      </c>
      <c r="Q31" s="3">
        <v>0.4</v>
      </c>
      <c r="R31" s="1" t="s">
        <v>1766</v>
      </c>
      <c r="S31" t="s">
        <v>1636</v>
      </c>
      <c r="T31" s="3">
        <v>0.4</v>
      </c>
      <c r="U31" s="1" t="s">
        <v>1766</v>
      </c>
      <c r="V31" t="s">
        <v>1636</v>
      </c>
      <c r="W31" s="3">
        <v>0.4</v>
      </c>
      <c r="X31" s="1" t="s">
        <v>1766</v>
      </c>
      <c r="Y31" t="s">
        <v>1636</v>
      </c>
      <c r="Z31" s="3">
        <v>0.4</v>
      </c>
      <c r="AB31" s="3"/>
      <c r="AD31" s="3"/>
      <c r="AF31" s="3"/>
      <c r="AH31" s="3"/>
      <c r="AK31" t="s">
        <v>1634</v>
      </c>
      <c r="AL31" t="s">
        <v>1634</v>
      </c>
      <c r="AM31">
        <v>1</v>
      </c>
    </row>
    <row r="32" spans="1:39" x14ac:dyDescent="0.35">
      <c r="A32" s="6" t="e">
        <f>IF('Coach Card'!$T$5="",IF($B$1="Solo",IF(L31="","",L31),IF($B$1="MSolo",IF(O31="","",O31),IF($B$1="Duet",IF(R31="","",R31),IF($B$1="Mixed",IF(U31="","",U31),IF(X31="","",X31))))),IF($B$1="Solo",IF(L531="","",L531),IF($B$1="MSolo",IF(L531="","",L531),IF($B$1="Duet",IF(O531="","",O531),IF($B$1="Mixed",IF(R531="","",R531),IF(U531="","",U531))))))</f>
        <v>#N/A</v>
      </c>
      <c r="B32" s="3" t="e">
        <f>IF('Coach Card'!$T$5="",IF($B$1="Solo",IF(M31="","",M31),IF($B$1="MSolo",IF(P31="","",P31),IF($B$1="Duet",IF(S31="","",S31),IF($B$1="Mixed",IF(V31="","",V31),IF(Y31="","",Y31))))),IF($B$1="Solo",IF(M531="","",M531),IF($B$1="MSolo",IF(M531="","",M531),IF($B$1="Duet",IF(P531="","",P531),IF($B$1="Mixed",IF(S531="","",S531),IF(V531="","",V531))))))</f>
        <v>#N/A</v>
      </c>
      <c r="C32" s="3" t="e">
        <f>IF('Coach Card'!$T$5="",IF($B$1="Solo",IF(N31="","",N31),IF($B$1="MSolo",IF(Q31="","",Q31),IF($B$1="Duet",IF(T31="","",T31),IF($B$1="Mixed",IF(W31="","",W31),IF(Z31="","",Z31))))),IF($B$1="Solo",IF(N531="","",N531),IF($B$1="MSolo",IF(N531="","",N531),IF($B$1="Duet",IF(Q531="","",Q531),IF($B$1="Mixed",IF(T531="","",T531),IF(W531="","",W531))))))</f>
        <v>#N/A</v>
      </c>
      <c r="D32" s="3" t="e">
        <f>IF('Coach Card'!$T$5="",IF($D$1="Team",IF(AG31="","",AG31),""),IF($D$1="Team",IF(AD531="","",AD531),""))</f>
        <v>#N/A</v>
      </c>
      <c r="E32" s="3" t="e">
        <f>IF('Coach Card'!$T$5="",IF($D$1="Team",IF(AH31="","",AH31),""),IF($D$1="Team",IF(AE531="","",AE531),""))</f>
        <v>#N/A</v>
      </c>
      <c r="F32" t="s">
        <v>1838</v>
      </c>
      <c r="G32">
        <v>0.3</v>
      </c>
      <c r="L32" s="1" t="s">
        <v>1766</v>
      </c>
      <c r="M32" t="s">
        <v>1637</v>
      </c>
      <c r="N32" s="3">
        <v>0.95</v>
      </c>
      <c r="O32" s="1" t="s">
        <v>1766</v>
      </c>
      <c r="P32" t="s">
        <v>1637</v>
      </c>
      <c r="Q32" s="3">
        <v>0.95</v>
      </c>
      <c r="R32" s="1" t="s">
        <v>1766</v>
      </c>
      <c r="S32" t="s">
        <v>1637</v>
      </c>
      <c r="T32" s="3">
        <v>0.95</v>
      </c>
      <c r="U32" s="1" t="s">
        <v>1766</v>
      </c>
      <c r="V32" t="s">
        <v>1637</v>
      </c>
      <c r="W32" s="3">
        <v>0.95</v>
      </c>
      <c r="X32" s="1" t="s">
        <v>1766</v>
      </c>
      <c r="Y32" t="s">
        <v>1637</v>
      </c>
      <c r="Z32" s="3">
        <v>0.95</v>
      </c>
      <c r="AB32" s="3"/>
      <c r="AD32" s="3"/>
      <c r="AF32" s="3"/>
      <c r="AH32" s="3"/>
      <c r="AK32" t="s">
        <v>1635</v>
      </c>
      <c r="AL32" t="s">
        <v>1635</v>
      </c>
      <c r="AM32">
        <v>1</v>
      </c>
    </row>
    <row r="33" spans="1:39" x14ac:dyDescent="0.35">
      <c r="A33" s="6" t="e">
        <f>IF('Coach Card'!$T$5="",IF($B$1="Solo",IF(L32="","",L32),IF($B$1="MSolo",IF(O32="","",O32),IF($B$1="Duet",IF(R32="","",R32),IF($B$1="Mixed",IF(U32="","",U32),IF(X32="","",X32))))),IF($B$1="Solo",IF(L532="","",L532),IF($B$1="MSolo",IF(L532="","",L532),IF($B$1="Duet",IF(O532="","",O532),IF($B$1="Mixed",IF(R532="","",R532),IF(U532="","",U532))))))</f>
        <v>#N/A</v>
      </c>
      <c r="B33" s="3" t="e">
        <f>IF('Coach Card'!$T$5="",IF($B$1="Solo",IF(M32="","",M32),IF($B$1="MSolo",IF(P32="","",P32),IF($B$1="Duet",IF(S32="","",S32),IF($B$1="Mixed",IF(V32="","",V32),IF(Y32="","",Y32))))),IF($B$1="Solo",IF(M532="","",M532),IF($B$1="MSolo",IF(M532="","",M532),IF($B$1="Duet",IF(P532="","",P532),IF($B$1="Mixed",IF(S532="","",S532),IF(V532="","",V532))))))</f>
        <v>#N/A</v>
      </c>
      <c r="C33" s="3" t="e">
        <f>IF('Coach Card'!$T$5="",IF($B$1="Solo",IF(N32="","",N32),IF($B$1="MSolo",IF(Q32="","",Q32),IF($B$1="Duet",IF(T32="","",T32),IF($B$1="Mixed",IF(W32="","",W32),IF(Z32="","",Z32))))),IF($B$1="Solo",IF(N532="","",N532),IF($B$1="MSolo",IF(N532="","",N532),IF($B$1="Duet",IF(Q532="","",Q532),IF($B$1="Mixed",IF(T532="","",T532),IF(W532="","",W532))))))</f>
        <v>#N/A</v>
      </c>
      <c r="D33" s="3" t="e">
        <f>IF('Coach Card'!$T$5="",IF($D$1="Team",IF(AG32="","",AG32),""),IF($D$1="Team",IF(AD532="","",AD532),""))</f>
        <v>#N/A</v>
      </c>
      <c r="E33" s="3" t="e">
        <f>IF('Coach Card'!$T$5="",IF($D$1="Team",IF(AH32="","",AH32),""),IF($D$1="Team",IF(AE532="","",AE532),""))</f>
        <v>#N/A</v>
      </c>
      <c r="F33" t="s">
        <v>1839</v>
      </c>
      <c r="G33">
        <v>0.3</v>
      </c>
      <c r="L33" s="1" t="s">
        <v>1766</v>
      </c>
      <c r="M33" t="s">
        <v>1638</v>
      </c>
      <c r="N33" s="3">
        <v>1</v>
      </c>
      <c r="O33" s="1" t="s">
        <v>1766</v>
      </c>
      <c r="P33" t="s">
        <v>1638</v>
      </c>
      <c r="Q33" s="3">
        <v>1</v>
      </c>
      <c r="R33" s="1" t="s">
        <v>1766</v>
      </c>
      <c r="S33" t="s">
        <v>1638</v>
      </c>
      <c r="T33" s="3">
        <v>1</v>
      </c>
      <c r="U33" s="1" t="s">
        <v>1766</v>
      </c>
      <c r="V33" t="s">
        <v>1638</v>
      </c>
      <c r="W33" s="3">
        <v>1</v>
      </c>
      <c r="X33" s="1" t="s">
        <v>1766</v>
      </c>
      <c r="Y33" t="s">
        <v>1638</v>
      </c>
      <c r="Z33" s="3">
        <v>1</v>
      </c>
      <c r="AH33" s="3"/>
      <c r="AK33" t="s">
        <v>1636</v>
      </c>
      <c r="AL33" t="s">
        <v>1636</v>
      </c>
      <c r="AM33">
        <v>1</v>
      </c>
    </row>
    <row r="34" spans="1:39" x14ac:dyDescent="0.35">
      <c r="A34" s="6" t="e">
        <f>IF('Coach Card'!$T$5="",IF($B$1="Solo",IF(L33="","",L33),IF($B$1="MSolo",IF(O33="","",O33),IF($B$1="Duet",IF(R33="","",R33),IF($B$1="Mixed",IF(U33="","",U33),IF(X33="","",X33))))),IF($B$1="Solo",IF(L533="","",L533),IF($B$1="MSolo",IF(L533="","",L533),IF($B$1="Duet",IF(O533="","",O533),IF($B$1="Mixed",IF(R533="","",R533),IF(U533="","",U533))))))</f>
        <v>#N/A</v>
      </c>
      <c r="B34" s="3" t="e">
        <f>IF('Coach Card'!$T$5="",IF($B$1="Solo",IF(M33="","",M33),IF($B$1="MSolo",IF(P33="","",P33),IF($B$1="Duet",IF(S33="","",S33),IF($B$1="Mixed",IF(V33="","",V33),IF(Y33="","",Y33))))),IF($B$1="Solo",IF(M533="","",M533),IF($B$1="MSolo",IF(M533="","",M533),IF($B$1="Duet",IF(P533="","",P533),IF($B$1="Mixed",IF(S533="","",S533),IF(V533="","",V533))))))</f>
        <v>#N/A</v>
      </c>
      <c r="C34" s="3" t="e">
        <f>IF('Coach Card'!$T$5="",IF($B$1="Solo",IF(N33="","",N33),IF($B$1="MSolo",IF(Q33="","",Q33),IF($B$1="Duet",IF(T33="","",T33),IF($B$1="Mixed",IF(W33="","",W33),IF(Z33="","",Z33))))),IF($B$1="Solo",IF(N533="","",N533),IF($B$1="MSolo",IF(N533="","",N533),IF($B$1="Duet",IF(Q533="","",Q533),IF($B$1="Mixed",IF(T533="","",T533),IF(W533="","",W533))))))</f>
        <v>#N/A</v>
      </c>
      <c r="D34" s="3" t="e">
        <f>IF('Coach Card'!$T$5="",IF($D$1="Team",IF(AG33="","",AG33),""),IF($D$1="Team",IF(AD533="","",AD533),""))</f>
        <v>#N/A</v>
      </c>
      <c r="E34" s="3" t="e">
        <f>IF('Coach Card'!$T$5="",IF($D$1="Team",IF(AH33="","",AH33),""),IF($D$1="Team",IF(AE533="","",AE533),""))</f>
        <v>#N/A</v>
      </c>
      <c r="F34" t="s">
        <v>1840</v>
      </c>
      <c r="G34">
        <v>0.3</v>
      </c>
      <c r="L34" s="1" t="s">
        <v>1766</v>
      </c>
      <c r="M34" t="s">
        <v>1639</v>
      </c>
      <c r="N34" s="3">
        <v>0.9</v>
      </c>
      <c r="O34" s="1" t="s">
        <v>1766</v>
      </c>
      <c r="P34" t="s">
        <v>1639</v>
      </c>
      <c r="Q34" s="3">
        <v>0.9</v>
      </c>
      <c r="R34" s="1" t="s">
        <v>1766</v>
      </c>
      <c r="S34" t="s">
        <v>1639</v>
      </c>
      <c r="T34" s="3">
        <v>0.9</v>
      </c>
      <c r="U34" s="1" t="s">
        <v>1766</v>
      </c>
      <c r="V34" t="s">
        <v>1639</v>
      </c>
      <c r="W34" s="3">
        <v>0.9</v>
      </c>
      <c r="X34" s="1" t="s">
        <v>1766</v>
      </c>
      <c r="Y34" t="s">
        <v>1639</v>
      </c>
      <c r="Z34" s="3">
        <v>0.9</v>
      </c>
      <c r="AH34" s="3"/>
      <c r="AK34" t="s">
        <v>1637</v>
      </c>
      <c r="AL34" t="s">
        <v>1637</v>
      </c>
      <c r="AM34">
        <v>1</v>
      </c>
    </row>
    <row r="35" spans="1:39" x14ac:dyDescent="0.35">
      <c r="A35" s="6" t="e">
        <f>IF('Coach Card'!$T$5="",IF($B$1="Solo",IF(L34="","",L34),IF($B$1="MSolo",IF(O34="","",O34),IF($B$1="Duet",IF(R34="","",R34),IF($B$1="Mixed",IF(U34="","",U34),IF(X34="","",X34))))),IF($B$1="Solo",IF(L534="","",L534),IF($B$1="MSolo",IF(L534="","",L534),IF($B$1="Duet",IF(O534="","",O534),IF($B$1="Mixed",IF(R534="","",R534),IF(U534="","",U534))))))</f>
        <v>#N/A</v>
      </c>
      <c r="B35" s="3" t="e">
        <f>IF('Coach Card'!$T$5="",IF($B$1="Solo",IF(M34="","",M34),IF($B$1="MSolo",IF(P34="","",P34),IF($B$1="Duet",IF(S34="","",S34),IF($B$1="Mixed",IF(V34="","",V34),IF(Y34="","",Y34))))),IF($B$1="Solo",IF(M534="","",M534),IF($B$1="MSolo",IF(M534="","",M534),IF($B$1="Duet",IF(P534="","",P534),IF($B$1="Mixed",IF(S534="","",S534),IF(V534="","",V534))))))</f>
        <v>#N/A</v>
      </c>
      <c r="C35" s="3" t="e">
        <f>IF('Coach Card'!$T$5="",IF($B$1="Solo",IF(N34="","",N34),IF($B$1="MSolo",IF(Q34="","",Q34),IF($B$1="Duet",IF(T34="","",T34),IF($B$1="Mixed",IF(W34="","",W34),IF(Z34="","",Z34))))),IF($B$1="Solo",IF(N534="","",N534),IF($B$1="MSolo",IF(N534="","",N534),IF($B$1="Duet",IF(Q534="","",Q534),IF($B$1="Mixed",IF(T534="","",T534),IF(W534="","",W534))))))</f>
        <v>#N/A</v>
      </c>
      <c r="D35" s="3" t="e">
        <f>IF('Coach Card'!$T$5="",IF($D$1="Team",IF(AG34="","",AG34),""),IF($D$1="Team",IF(AD534="","",AD534),""))</f>
        <v>#N/A</v>
      </c>
      <c r="E35" s="3" t="e">
        <f>IF('Coach Card'!$T$5="",IF($D$1="Team",IF(AH34="","",AH34),""),IF($D$1="Team",IF(AE534="","",AE534),""))</f>
        <v>#N/A</v>
      </c>
      <c r="F35" t="s">
        <v>60</v>
      </c>
      <c r="G35">
        <v>0.4</v>
      </c>
      <c r="L35" s="1" t="s">
        <v>1766</v>
      </c>
      <c r="M35" t="s">
        <v>1640</v>
      </c>
      <c r="N35" s="3">
        <v>1.95</v>
      </c>
      <c r="O35" s="1" t="s">
        <v>1766</v>
      </c>
      <c r="P35" t="s">
        <v>1640</v>
      </c>
      <c r="Q35" s="3">
        <v>1.95</v>
      </c>
      <c r="R35" s="1" t="s">
        <v>1766</v>
      </c>
      <c r="S35" t="s">
        <v>1640</v>
      </c>
      <c r="T35" s="3">
        <v>1.95</v>
      </c>
      <c r="U35" s="1" t="s">
        <v>1766</v>
      </c>
      <c r="V35" t="s">
        <v>1640</v>
      </c>
      <c r="W35" s="3">
        <v>1.95</v>
      </c>
      <c r="X35" s="1" t="s">
        <v>1766</v>
      </c>
      <c r="Y35" t="s">
        <v>1640</v>
      </c>
      <c r="Z35" s="3">
        <v>1.95</v>
      </c>
      <c r="AH35" s="3"/>
      <c r="AK35" t="s">
        <v>1638</v>
      </c>
      <c r="AL35" t="s">
        <v>1638</v>
      </c>
      <c r="AM35">
        <v>1</v>
      </c>
    </row>
    <row r="36" spans="1:39" x14ac:dyDescent="0.35">
      <c r="A36" s="6" t="e">
        <f>IF('Coach Card'!$T$5="",IF($B$1="Solo",IF(L35="","",L35),IF($B$1="MSolo",IF(O35="","",O35),IF($B$1="Duet",IF(R35="","",R35),IF($B$1="Mixed",IF(U35="","",U35),IF(X35="","",X35))))),IF($B$1="Solo",IF(L535="","",L535),IF($B$1="MSolo",IF(L535="","",L535),IF($B$1="Duet",IF(O535="","",O535),IF($B$1="Mixed",IF(R535="","",R535),IF(U535="","",U535))))))</f>
        <v>#N/A</v>
      </c>
      <c r="B36" s="3" t="e">
        <f>IF('Coach Card'!$T$5="",IF($B$1="Solo",IF(M35="","",M35),IF($B$1="MSolo",IF(P35="","",P35),IF($B$1="Duet",IF(S35="","",S35),IF($B$1="Mixed",IF(V35="","",V35),IF(Y35="","",Y35))))),IF($B$1="Solo",IF(M535="","",M535),IF($B$1="MSolo",IF(M535="","",M535),IF($B$1="Duet",IF(P535="","",P535),IF($B$1="Mixed",IF(S535="","",S535),IF(V535="","",V535))))))</f>
        <v>#N/A</v>
      </c>
      <c r="C36" s="3" t="e">
        <f>IF('Coach Card'!$T$5="",IF($B$1="Solo",IF(N35="","",N35),IF($B$1="MSolo",IF(Q35="","",Q35),IF($B$1="Duet",IF(T35="","",T35),IF($B$1="Mixed",IF(W35="","",W35),IF(Z35="","",Z35))))),IF($B$1="Solo",IF(N535="","",N535),IF($B$1="MSolo",IF(N535="","",N535),IF($B$1="Duet",IF(Q535="","",Q535),IF($B$1="Mixed",IF(T535="","",T535),IF(W535="","",W535))))))</f>
        <v>#N/A</v>
      </c>
      <c r="D36" s="3" t="e">
        <f>IF('Coach Card'!$T$5="",IF($D$1="Team",IF(AG35="","",AG35),""),IF($D$1="Team",IF(AD535="","",AD535),""))</f>
        <v>#N/A</v>
      </c>
      <c r="E36" s="3" t="e">
        <f>IF('Coach Card'!$T$5="",IF($D$1="Team",IF(AH35="","",AH35),""),IF($D$1="Team",IF(AE535="","",AE535),""))</f>
        <v>#N/A</v>
      </c>
      <c r="F36" t="s">
        <v>61</v>
      </c>
      <c r="G36">
        <v>0.5</v>
      </c>
      <c r="L36" s="1" t="s">
        <v>1766</v>
      </c>
      <c r="M36" t="s">
        <v>1641</v>
      </c>
      <c r="N36" s="3">
        <v>2</v>
      </c>
      <c r="O36" s="1" t="s">
        <v>1766</v>
      </c>
      <c r="P36" t="s">
        <v>1641</v>
      </c>
      <c r="Q36" s="3">
        <v>2</v>
      </c>
      <c r="R36" s="1" t="s">
        <v>1766</v>
      </c>
      <c r="S36" t="s">
        <v>1641</v>
      </c>
      <c r="T36" s="3">
        <v>2</v>
      </c>
      <c r="U36" s="1" t="s">
        <v>1766</v>
      </c>
      <c r="V36" t="s">
        <v>1641</v>
      </c>
      <c r="W36" s="3">
        <v>2</v>
      </c>
      <c r="X36" s="1" t="s">
        <v>1766</v>
      </c>
      <c r="Y36" t="s">
        <v>1641</v>
      </c>
      <c r="Z36" s="3">
        <v>2</v>
      </c>
      <c r="AH36" s="3"/>
      <c r="AK36" t="s">
        <v>1639</v>
      </c>
      <c r="AL36" t="s">
        <v>1639</v>
      </c>
      <c r="AM36">
        <v>1</v>
      </c>
    </row>
    <row r="37" spans="1:39" x14ac:dyDescent="0.35">
      <c r="A37" s="6" t="e">
        <f>IF('Coach Card'!$T$5="",IF($B$1="Solo",IF(L36="","",L36),IF($B$1="MSolo",IF(O36="","",O36),IF($B$1="Duet",IF(R36="","",R36),IF($B$1="Mixed",IF(U36="","",U36),IF(X36="","",X36))))),IF($B$1="Solo",IF(L536="","",L536),IF($B$1="MSolo",IF(L536="","",L536),IF($B$1="Duet",IF(O536="","",O536),IF($B$1="Mixed",IF(R536="","",R536),IF(U536="","",U536))))))</f>
        <v>#N/A</v>
      </c>
      <c r="B37" s="3" t="e">
        <f>IF('Coach Card'!$T$5="",IF($B$1="Solo",IF(M36="","",M36),IF($B$1="MSolo",IF(P36="","",P36),IF($B$1="Duet",IF(S36="","",S36),IF($B$1="Mixed",IF(V36="","",V36),IF(Y36="","",Y36))))),IF($B$1="Solo",IF(M536="","",M536),IF($B$1="MSolo",IF(M536="","",M536),IF($B$1="Duet",IF(P536="","",P536),IF($B$1="Mixed",IF(S536="","",S536),IF(V536="","",V536))))))</f>
        <v>#N/A</v>
      </c>
      <c r="C37" s="3" t="e">
        <f>IF('Coach Card'!$T$5="",IF($B$1="Solo",IF(N36="","",N36),IF($B$1="MSolo",IF(Q36="","",Q36),IF($B$1="Duet",IF(T36="","",T36),IF($B$1="Mixed",IF(W36="","",W36),IF(Z36="","",Z36))))),IF($B$1="Solo",IF(N536="","",N536),IF($B$1="MSolo",IF(N536="","",N536),IF($B$1="Duet",IF(Q536="","",Q536),IF($B$1="Mixed",IF(T536="","",T536),IF(W536="","",W536))))))</f>
        <v>#N/A</v>
      </c>
      <c r="D37" s="3" t="e">
        <f>IF('Coach Card'!$T$5="",IF($D$1="Team",IF(AG36="","",AG36),""),IF($D$1="Team",IF(AD536="","",AD536),""))</f>
        <v>#N/A</v>
      </c>
      <c r="E37" s="3" t="e">
        <f>IF('Coach Card'!$T$5="",IF($D$1="Team",IF(AH36="","",AH36),""),IF($D$1="Team",IF(AE536="","",AE536),""))</f>
        <v>#N/A</v>
      </c>
      <c r="F37" t="s">
        <v>62</v>
      </c>
      <c r="G37">
        <v>1</v>
      </c>
      <c r="L37" s="1" t="s">
        <v>1766</v>
      </c>
      <c r="M37" t="s">
        <v>1642</v>
      </c>
      <c r="N37" s="3">
        <v>1.4</v>
      </c>
      <c r="O37" s="1" t="s">
        <v>1766</v>
      </c>
      <c r="P37" t="s">
        <v>1642</v>
      </c>
      <c r="Q37" s="3">
        <v>1.4</v>
      </c>
      <c r="R37" s="1" t="s">
        <v>1766</v>
      </c>
      <c r="S37" t="s">
        <v>1642</v>
      </c>
      <c r="T37" s="3">
        <v>1.4</v>
      </c>
      <c r="U37" s="1" t="s">
        <v>1766</v>
      </c>
      <c r="V37" t="s">
        <v>1642</v>
      </c>
      <c r="W37" s="3">
        <v>1.4</v>
      </c>
      <c r="X37" s="1" t="s">
        <v>1766</v>
      </c>
      <c r="Y37" t="s">
        <v>1642</v>
      </c>
      <c r="Z37" s="3">
        <v>1.4</v>
      </c>
      <c r="AH37" s="3"/>
      <c r="AK37" t="s">
        <v>1640</v>
      </c>
      <c r="AL37" t="s">
        <v>1640</v>
      </c>
      <c r="AM37">
        <v>1</v>
      </c>
    </row>
    <row r="38" spans="1:39" x14ac:dyDescent="0.35">
      <c r="A38" s="6" t="e">
        <f>IF('Coach Card'!$T$5="",IF($B$1="Solo",IF(L37="","",L37),IF($B$1="MSolo",IF(O37="","",O37),IF($B$1="Duet",IF(R37="","",R37),IF($B$1="Mixed",IF(U37="","",U37),IF(X37="","",X37))))),IF($B$1="Solo",IF(L537="","",L537),IF($B$1="MSolo",IF(L537="","",L537),IF($B$1="Duet",IF(O537="","",O537),IF($B$1="Mixed",IF(R537="","",R537),IF(U537="","",U537))))))</f>
        <v>#N/A</v>
      </c>
      <c r="B38" s="3" t="e">
        <f>IF('Coach Card'!$T$5="",IF($B$1="Solo",IF(M37="","",M37),IF($B$1="MSolo",IF(P37="","",P37),IF($B$1="Duet",IF(S37="","",S37),IF($B$1="Mixed",IF(V37="","",V37),IF(Y37="","",Y37))))),IF($B$1="Solo",IF(M537="","",M537),IF($B$1="MSolo",IF(M537="","",M537),IF($B$1="Duet",IF(P537="","",P537),IF($B$1="Mixed",IF(S537="","",S537),IF(V537="","",V537))))))</f>
        <v>#N/A</v>
      </c>
      <c r="C38" s="3" t="e">
        <f>IF('Coach Card'!$T$5="",IF($B$1="Solo",IF(N37="","",N37),IF($B$1="MSolo",IF(Q37="","",Q37),IF($B$1="Duet",IF(T37="","",T37),IF($B$1="Mixed",IF(W37="","",W37),IF(Z37="","",Z37))))),IF($B$1="Solo",IF(N537="","",N537),IF($B$1="MSolo",IF(N537="","",N537),IF($B$1="Duet",IF(Q537="","",Q537),IF($B$1="Mixed",IF(T537="","",T537),IF(W537="","",W537))))))</f>
        <v>#N/A</v>
      </c>
      <c r="D38" s="3" t="e">
        <f>IF('Coach Card'!$T$5="",IF($D$1="Team",IF(AG37="","",AG37),""),IF($D$1="Team",IF(AD537="","",AD537),""))</f>
        <v>#N/A</v>
      </c>
      <c r="E38" s="3" t="e">
        <f>IF('Coach Card'!$T$5="",IF($D$1="Team",IF(AH37="","",AH37),""),IF($D$1="Team",IF(AE537="","",AE537),""))</f>
        <v>#N/A</v>
      </c>
      <c r="F38" t="s">
        <v>1844</v>
      </c>
      <c r="G38">
        <v>1.25</v>
      </c>
      <c r="L38" s="1" t="s">
        <v>1766</v>
      </c>
      <c r="M38" t="s">
        <v>1643</v>
      </c>
      <c r="N38" s="3">
        <v>2.95</v>
      </c>
      <c r="O38" s="1" t="s">
        <v>1766</v>
      </c>
      <c r="P38" t="s">
        <v>1643</v>
      </c>
      <c r="Q38" s="3">
        <v>2.95</v>
      </c>
      <c r="R38" s="1" t="s">
        <v>1766</v>
      </c>
      <c r="S38" t="s">
        <v>1643</v>
      </c>
      <c r="T38" s="3">
        <v>2.95</v>
      </c>
      <c r="U38" s="1" t="s">
        <v>1766</v>
      </c>
      <c r="V38" t="s">
        <v>1643</v>
      </c>
      <c r="W38" s="3">
        <v>2.95</v>
      </c>
      <c r="X38" s="1" t="s">
        <v>1766</v>
      </c>
      <c r="Y38" t="s">
        <v>1643</v>
      </c>
      <c r="Z38" s="3">
        <v>2.95</v>
      </c>
      <c r="AH38" s="3"/>
      <c r="AK38" t="s">
        <v>1641</v>
      </c>
      <c r="AL38" t="s">
        <v>1641</v>
      </c>
      <c r="AM38">
        <v>1</v>
      </c>
    </row>
    <row r="39" spans="1:39" x14ac:dyDescent="0.35">
      <c r="A39" s="6" t="e">
        <f>IF('Coach Card'!$T$5="",IF($B$1="Solo",IF(L38="","",L38),IF($B$1="MSolo",IF(O38="","",O38),IF($B$1="Duet",IF(R38="","",R38),IF($B$1="Mixed",IF(U38="","",U38),IF(X38="","",X38))))),IF($B$1="Solo",IF(L538="","",L538),IF($B$1="MSolo",IF(L538="","",L538),IF($B$1="Duet",IF(O538="","",O538),IF($B$1="Mixed",IF(R538="","",R538),IF(U538="","",U538))))))</f>
        <v>#N/A</v>
      </c>
      <c r="B39" s="3" t="e">
        <f>IF('Coach Card'!$T$5="",IF($B$1="Solo",IF(M38="","",M38),IF($B$1="MSolo",IF(P38="","",P38),IF($B$1="Duet",IF(S38="","",S38),IF($B$1="Mixed",IF(V38="","",V38),IF(Y38="","",Y38))))),IF($B$1="Solo",IF(M538="","",M538),IF($B$1="MSolo",IF(M538="","",M538),IF($B$1="Duet",IF(P538="","",P538),IF($B$1="Mixed",IF(S538="","",S538),IF(V538="","",V538))))))</f>
        <v>#N/A</v>
      </c>
      <c r="C39" s="3" t="e">
        <f>IF('Coach Card'!$T$5="",IF($B$1="Solo",IF(N38="","",N38),IF($B$1="MSolo",IF(Q38="","",Q38),IF($B$1="Duet",IF(T38="","",T38),IF($B$1="Mixed",IF(W38="","",W38),IF(Z38="","",Z38))))),IF($B$1="Solo",IF(N538="","",N538),IF($B$1="MSolo",IF(N538="","",N538),IF($B$1="Duet",IF(Q538="","",Q538),IF($B$1="Mixed",IF(T538="","",T538),IF(W538="","",W538))))))</f>
        <v>#N/A</v>
      </c>
      <c r="D39" s="3" t="e">
        <f>IF('Coach Card'!$T$5="",IF($D$1="Team",IF(AG38="","",AG38),""),IF($D$1="Team",IF(AD538="","",AD538),""))</f>
        <v>#N/A</v>
      </c>
      <c r="E39" s="3" t="e">
        <f>IF('Coach Card'!$T$5="",IF($D$1="Team",IF(AH38="","",AH38),""),IF($D$1="Team",IF(AE538="","",AE538),""))</f>
        <v>#N/A</v>
      </c>
      <c r="F39" t="s">
        <v>1845</v>
      </c>
      <c r="G39">
        <v>1.25</v>
      </c>
      <c r="L39" s="1" t="s">
        <v>1766</v>
      </c>
      <c r="M39" t="s">
        <v>1644</v>
      </c>
      <c r="N39" s="3">
        <v>3</v>
      </c>
      <c r="O39" s="1" t="s">
        <v>1766</v>
      </c>
      <c r="P39" t="s">
        <v>1644</v>
      </c>
      <c r="Q39" s="3">
        <v>3</v>
      </c>
      <c r="R39" s="1" t="s">
        <v>1766</v>
      </c>
      <c r="S39" t="s">
        <v>1644</v>
      </c>
      <c r="T39" s="3">
        <v>3</v>
      </c>
      <c r="U39" s="1" t="s">
        <v>1766</v>
      </c>
      <c r="V39" t="s">
        <v>1644</v>
      </c>
      <c r="W39" s="3">
        <v>3</v>
      </c>
      <c r="X39" s="1" t="s">
        <v>1766</v>
      </c>
      <c r="Y39" t="s">
        <v>1644</v>
      </c>
      <c r="Z39" s="3">
        <v>3</v>
      </c>
      <c r="AH39" s="3"/>
      <c r="AK39" t="s">
        <v>1642</v>
      </c>
      <c r="AL39" t="s">
        <v>1642</v>
      </c>
      <c r="AM39">
        <v>1</v>
      </c>
    </row>
    <row r="40" spans="1:39" x14ac:dyDescent="0.35">
      <c r="A40" s="6" t="e">
        <f>IF('Coach Card'!$T$5="",IF($B$1="Solo",IF(L39="","",L39),IF($B$1="MSolo",IF(O39="","",O39),IF($B$1="Duet",IF(R39="","",R39),IF($B$1="Mixed",IF(U39="","",U39),IF(X39="","",X39))))),IF($B$1="Solo",IF(L539="","",L539),IF($B$1="MSolo",IF(L539="","",L539),IF($B$1="Duet",IF(O539="","",O539),IF($B$1="Mixed",IF(R539="","",R539),IF(U539="","",U539))))))</f>
        <v>#N/A</v>
      </c>
      <c r="B40" s="3" t="e">
        <f>IF('Coach Card'!$T$5="",IF($B$1="Solo",IF(M39="","",M39),IF($B$1="MSolo",IF(P39="","",P39),IF($B$1="Duet",IF(S39="","",S39),IF($B$1="Mixed",IF(V39="","",V39),IF(Y39="","",Y39))))),IF($B$1="Solo",IF(M539="","",M539),IF($B$1="MSolo",IF(M539="","",M539),IF($B$1="Duet",IF(P539="","",P539),IF($B$1="Mixed",IF(S539="","",S539),IF(V539="","",V539))))))</f>
        <v>#N/A</v>
      </c>
      <c r="C40" s="3" t="e">
        <f>IF('Coach Card'!$T$5="",IF($B$1="Solo",IF(N39="","",N39),IF($B$1="MSolo",IF(Q39="","",Q39),IF($B$1="Duet",IF(T39="","",T39),IF($B$1="Mixed",IF(W39="","",W39),IF(Z39="","",Z39))))),IF($B$1="Solo",IF(N539="","",N539),IF($B$1="MSolo",IF(N539="","",N539),IF($B$1="Duet",IF(Q539="","",Q539),IF($B$1="Mixed",IF(T539="","",T539),IF(W539="","",W539))))))</f>
        <v>#N/A</v>
      </c>
      <c r="D40" s="3" t="e">
        <f>IF('Coach Card'!$T$5="",IF($D$1="Team",IF(AG39="","",AG39),""),IF($D$1="Team",IF(AD539="","",AD539),""))</f>
        <v>#N/A</v>
      </c>
      <c r="E40" s="3" t="e">
        <f>IF('Coach Card'!$T$5="",IF($D$1="Team",IF(AH39="","",AH39),""),IF($D$1="Team",IF(AE539="","",AE539),""))</f>
        <v>#N/A</v>
      </c>
      <c r="F40" t="s">
        <v>1704</v>
      </c>
      <c r="G40">
        <v>1.5</v>
      </c>
      <c r="L40" s="1" t="s">
        <v>1766</v>
      </c>
      <c r="M40" t="s">
        <v>1645</v>
      </c>
      <c r="N40" s="3">
        <v>1.9</v>
      </c>
      <c r="O40" s="1" t="s">
        <v>1766</v>
      </c>
      <c r="P40" t="s">
        <v>1645</v>
      </c>
      <c r="Q40" s="3">
        <v>1.9</v>
      </c>
      <c r="R40" s="1" t="s">
        <v>1766</v>
      </c>
      <c r="S40" t="s">
        <v>1645</v>
      </c>
      <c r="T40" s="3">
        <v>1.9</v>
      </c>
      <c r="U40" s="1" t="s">
        <v>1766</v>
      </c>
      <c r="V40" t="s">
        <v>1645</v>
      </c>
      <c r="W40" s="3">
        <v>1.9</v>
      </c>
      <c r="X40" s="1" t="s">
        <v>1766</v>
      </c>
      <c r="Y40" t="s">
        <v>1645</v>
      </c>
      <c r="Z40" s="3">
        <v>1.9</v>
      </c>
      <c r="AH40" s="3"/>
      <c r="AK40" t="s">
        <v>1643</v>
      </c>
      <c r="AL40" t="s">
        <v>1643</v>
      </c>
      <c r="AM40">
        <v>1</v>
      </c>
    </row>
    <row r="41" spans="1:39" x14ac:dyDescent="0.35">
      <c r="A41" s="6" t="e">
        <f>IF('Coach Card'!$T$5="",IF($B$1="Solo",IF(L40="","",L40),IF($B$1="MSolo",IF(O40="","",O40),IF($B$1="Duet",IF(R40="","",R40),IF($B$1="Mixed",IF(U40="","",U40),IF(X40="","",X40))))),IF($B$1="Solo",IF(L540="","",L540),IF($B$1="MSolo",IF(L540="","",L540),IF($B$1="Duet",IF(O540="","",O540),IF($B$1="Mixed",IF(R540="","",R540),IF(U540="","",U540))))))</f>
        <v>#N/A</v>
      </c>
      <c r="B41" s="3" t="e">
        <f>IF('Coach Card'!$T$5="",IF($B$1="Solo",IF(M40="","",M40),IF($B$1="MSolo",IF(P40="","",P40),IF($B$1="Duet",IF(S40="","",S40),IF($B$1="Mixed",IF(V40="","",V40),IF(Y40="","",Y40))))),IF($B$1="Solo",IF(M540="","",M540),IF($B$1="MSolo",IF(M540="","",M540),IF($B$1="Duet",IF(P540="","",P540),IF($B$1="Mixed",IF(S540="","",S540),IF(V540="","",V540))))))</f>
        <v>#N/A</v>
      </c>
      <c r="C41" s="3" t="e">
        <f>IF('Coach Card'!$T$5="",IF($B$1="Solo",IF(N40="","",N40),IF($B$1="MSolo",IF(Q40="","",Q40),IF($B$1="Duet",IF(T40="","",T40),IF($B$1="Mixed",IF(W40="","",W40),IF(Z40="","",Z40))))),IF($B$1="Solo",IF(N540="","",N540),IF($B$1="MSolo",IF(N540="","",N540),IF($B$1="Duet",IF(Q540="","",Q540),IF($B$1="Mixed",IF(T540="","",T540),IF(W540="","",W540))))))</f>
        <v>#N/A</v>
      </c>
      <c r="D41" s="3" t="e">
        <f>IF('Coach Card'!$T$5="",IF($D$1="Team",IF(AG40="","",AG40),""),IF($D$1="Team",IF(AD540="","",AD540),""))</f>
        <v>#N/A</v>
      </c>
      <c r="E41" s="3" t="e">
        <f>IF('Coach Card'!$T$5="",IF($D$1="Team",IF(AH40="","",AH40),""),IF($D$1="Team",IF(AE540="","",AE540),""))</f>
        <v>#N/A</v>
      </c>
      <c r="F41" t="s">
        <v>1971</v>
      </c>
      <c r="G41">
        <v>0.15</v>
      </c>
      <c r="L41" s="1" t="s">
        <v>1766</v>
      </c>
      <c r="M41" t="s">
        <v>1646</v>
      </c>
      <c r="N41" s="3">
        <v>3.95</v>
      </c>
      <c r="O41" s="1" t="s">
        <v>1766</v>
      </c>
      <c r="P41" t="s">
        <v>1646</v>
      </c>
      <c r="Q41" s="3">
        <v>3.95</v>
      </c>
      <c r="R41" s="1" t="s">
        <v>1766</v>
      </c>
      <c r="S41" t="s">
        <v>1646</v>
      </c>
      <c r="T41" s="3">
        <v>3.95</v>
      </c>
      <c r="U41" s="1" t="s">
        <v>1766</v>
      </c>
      <c r="V41" t="s">
        <v>1646</v>
      </c>
      <c r="W41" s="3">
        <v>3.95</v>
      </c>
      <c r="X41" s="1" t="s">
        <v>1766</v>
      </c>
      <c r="Y41" t="s">
        <v>1646</v>
      </c>
      <c r="Z41" s="3">
        <v>3.95</v>
      </c>
      <c r="AH41" s="3"/>
      <c r="AK41" t="s">
        <v>1644</v>
      </c>
      <c r="AL41" t="s">
        <v>1644</v>
      </c>
      <c r="AM41">
        <v>1</v>
      </c>
    </row>
    <row r="42" spans="1:39" x14ac:dyDescent="0.35">
      <c r="A42" s="6" t="e">
        <f>IF('Coach Card'!$T$5="",IF($B$1="Solo",IF(L41="","",L41),IF($B$1="MSolo",IF(O41="","",O41),IF($B$1="Duet",IF(R41="","",R41),IF($B$1="Mixed",IF(U41="","",U41),IF(X41="","",X41))))),IF($B$1="Solo",IF(L541="","",L541),IF($B$1="MSolo",IF(L541="","",L541),IF($B$1="Duet",IF(O541="","",O541),IF($B$1="Mixed",IF(R541="","",R541),IF(U541="","",U541))))))</f>
        <v>#N/A</v>
      </c>
      <c r="B42" s="3" t="e">
        <f>IF('Coach Card'!$T$5="",IF($B$1="Solo",IF(M41="","",M41),IF($B$1="MSolo",IF(P41="","",P41),IF($B$1="Duet",IF(S41="","",S41),IF($B$1="Mixed",IF(V41="","",V41),IF(Y41="","",Y41))))),IF($B$1="Solo",IF(M541="","",M541),IF($B$1="MSolo",IF(M541="","",M541),IF($B$1="Duet",IF(P541="","",P541),IF($B$1="Mixed",IF(S541="","",S541),IF(V541="","",V541))))))</f>
        <v>#N/A</v>
      </c>
      <c r="C42" s="3" t="e">
        <f>IF('Coach Card'!$T$5="",IF($B$1="Solo",IF(N41="","",N41),IF($B$1="MSolo",IF(Q41="","",Q41),IF($B$1="Duet",IF(T41="","",T41),IF($B$1="Mixed",IF(W41="","",W41),IF(Z41="","",Z41))))),IF($B$1="Solo",IF(N541="","",N541),IF($B$1="MSolo",IF(N541="","",N541),IF($B$1="Duet",IF(Q541="","",Q541),IF($B$1="Mixed",IF(T541="","",T541),IF(W541="","",W541))))))</f>
        <v>#N/A</v>
      </c>
      <c r="D42" s="3" t="e">
        <f>IF('Coach Card'!$T$5="",IF($D$1="Team",IF(AG41="","",AG41),""),IF($D$1="Team",IF(AD541="","",AD541),""))</f>
        <v>#N/A</v>
      </c>
      <c r="E42" s="3" t="e">
        <f>IF('Coach Card'!$T$5="",IF($D$1="Team",IF(AH41="","",AH41),""),IF($D$1="Team",IF(AE541="","",AE541),""))</f>
        <v>#N/A</v>
      </c>
      <c r="F42" t="s">
        <v>1972</v>
      </c>
      <c r="G42">
        <v>0.22500000000000001</v>
      </c>
      <c r="L42" s="1" t="s">
        <v>1766</v>
      </c>
      <c r="M42" t="s">
        <v>1647</v>
      </c>
      <c r="N42" s="3">
        <v>4</v>
      </c>
      <c r="O42" s="1" t="s">
        <v>1766</v>
      </c>
      <c r="P42" t="s">
        <v>1647</v>
      </c>
      <c r="Q42" s="3">
        <v>4</v>
      </c>
      <c r="R42" s="1" t="s">
        <v>1766</v>
      </c>
      <c r="S42" t="s">
        <v>1647</v>
      </c>
      <c r="T42" s="3">
        <v>4</v>
      </c>
      <c r="U42" s="1" t="s">
        <v>1766</v>
      </c>
      <c r="V42" t="s">
        <v>1647</v>
      </c>
      <c r="W42" s="3">
        <v>4</v>
      </c>
      <c r="X42" s="1" t="s">
        <v>1766</v>
      </c>
      <c r="Y42" t="s">
        <v>1647</v>
      </c>
      <c r="Z42" s="3">
        <v>4</v>
      </c>
      <c r="AK42" t="s">
        <v>1645</v>
      </c>
      <c r="AL42" t="s">
        <v>1645</v>
      </c>
      <c r="AM42">
        <v>1</v>
      </c>
    </row>
    <row r="43" spans="1:39" x14ac:dyDescent="0.35">
      <c r="A43" s="6" t="e">
        <f>IF('Coach Card'!$T$5="",IF($B$1="Solo",IF(L42="","",L42),IF($B$1="MSolo",IF(O42="","",O42),IF($B$1="Duet",IF(R42="","",R42),IF($B$1="Mixed",IF(U42="","",U42),IF(X42="","",X42))))),IF($B$1="Solo",IF(L542="","",L542),IF($B$1="MSolo",IF(L542="","",L542),IF($B$1="Duet",IF(O542="","",O542),IF($B$1="Mixed",IF(R542="","",R542),IF(U542="","",U542))))))</f>
        <v>#N/A</v>
      </c>
      <c r="B43" s="3" t="e">
        <f>IF('Coach Card'!$T$5="",IF($B$1="Solo",IF(M42="","",M42),IF($B$1="MSolo",IF(P42="","",P42),IF($B$1="Duet",IF(S42="","",S42),IF($B$1="Mixed",IF(V42="","",V42),IF(Y42="","",Y42))))),IF($B$1="Solo",IF(M542="","",M542),IF($B$1="MSolo",IF(M542="","",M542),IF($B$1="Duet",IF(P542="","",P542),IF($B$1="Mixed",IF(S542="","",S542),IF(V542="","",V542))))))</f>
        <v>#N/A</v>
      </c>
      <c r="C43" s="3" t="e">
        <f>IF('Coach Card'!$T$5="",IF($B$1="Solo",IF(N42="","",N42),IF($B$1="MSolo",IF(Q42="","",Q42),IF($B$1="Duet",IF(T42="","",T42),IF($B$1="Mixed",IF(W42="","",W42),IF(Z42="","",Z42))))),IF($B$1="Solo",IF(N542="","",N542),IF($B$1="MSolo",IF(N542="","",N542),IF($B$1="Duet",IF(Q542="","",Q542),IF($B$1="Mixed",IF(T542="","",T542),IF(W542="","",W542))))))</f>
        <v>#N/A</v>
      </c>
      <c r="D43" s="3" t="e">
        <f>IF('Coach Card'!$T$5="",IF($D$1="Team",IF(AG42="","",AG42),""),IF($D$1="Team",IF(AD542="","",AD542),""))</f>
        <v>#N/A</v>
      </c>
      <c r="E43" s="3" t="e">
        <f>IF('Coach Card'!$T$5="",IF($D$1="Team",IF(AH42="","",AH42),""),IF($D$1="Team",IF(AE542="","",AE542),""))</f>
        <v>#N/A</v>
      </c>
      <c r="F43" t="s">
        <v>1973</v>
      </c>
      <c r="G43">
        <v>0.25</v>
      </c>
      <c r="L43" s="1" t="s">
        <v>1766</v>
      </c>
      <c r="M43" t="s">
        <v>1648</v>
      </c>
      <c r="N43" s="3">
        <v>2.4</v>
      </c>
      <c r="O43" s="1" t="s">
        <v>1766</v>
      </c>
      <c r="P43" t="s">
        <v>1648</v>
      </c>
      <c r="Q43" s="3">
        <v>2.4</v>
      </c>
      <c r="R43" s="1" t="s">
        <v>1766</v>
      </c>
      <c r="S43" t="s">
        <v>1648</v>
      </c>
      <c r="T43" s="3">
        <v>2.4</v>
      </c>
      <c r="U43" s="1" t="s">
        <v>1766</v>
      </c>
      <c r="V43" t="s">
        <v>1648</v>
      </c>
      <c r="W43" s="3">
        <v>2.4</v>
      </c>
      <c r="X43" s="1" t="s">
        <v>1766</v>
      </c>
      <c r="Y43" t="s">
        <v>1648</v>
      </c>
      <c r="Z43" s="3">
        <v>2.4</v>
      </c>
      <c r="AK43" t="s">
        <v>1646</v>
      </c>
      <c r="AL43" t="s">
        <v>1646</v>
      </c>
      <c r="AM43">
        <v>1</v>
      </c>
    </row>
    <row r="44" spans="1:39" x14ac:dyDescent="0.35">
      <c r="A44" s="6" t="e">
        <f>IF('Coach Card'!$T$5="",IF($B$1="Solo",IF(L43="","",L43),IF($B$1="MSolo",IF(O43="","",O43),IF($B$1="Duet",IF(R43="","",R43),IF($B$1="Mixed",IF(U43="","",U43),IF(X43="","",X43))))),IF($B$1="Solo",IF(L543="","",L543),IF($B$1="MSolo",IF(L543="","",L543),IF($B$1="Duet",IF(O543="","",O543),IF($B$1="Mixed",IF(R543="","",R543),IF(U543="","",U543))))))</f>
        <v>#N/A</v>
      </c>
      <c r="B44" s="3" t="e">
        <f>IF('Coach Card'!$T$5="",IF($B$1="Solo",IF(M43="","",M43),IF($B$1="MSolo",IF(P43="","",P43),IF($B$1="Duet",IF(S43="","",S43),IF($B$1="Mixed",IF(V43="","",V43),IF(Y43="","",Y43))))),IF($B$1="Solo",IF(M543="","",M543),IF($B$1="MSolo",IF(M543="","",M543),IF($B$1="Duet",IF(P543="","",P543),IF($B$1="Mixed",IF(S543="","",S543),IF(V543="","",V543))))))</f>
        <v>#N/A</v>
      </c>
      <c r="C44" s="3" t="e">
        <f>IF('Coach Card'!$T$5="",IF($B$1="Solo",IF(N43="","",N43),IF($B$1="MSolo",IF(Q43="","",Q43),IF($B$1="Duet",IF(T43="","",T43),IF($B$1="Mixed",IF(W43="","",W43),IF(Z43="","",Z43))))),IF($B$1="Solo",IF(N543="","",N543),IF($B$1="MSolo",IF(N543="","",N543),IF($B$1="Duet",IF(Q543="","",Q543),IF($B$1="Mixed",IF(T543="","",T543),IF(W543="","",W543))))))</f>
        <v>#N/A</v>
      </c>
      <c r="D44" s="3" t="e">
        <f>IF('Coach Card'!$T$5="",IF($D$1="Team",IF(AG43="","",AG43),""),IF($D$1="Team",IF(AD543="","",AD543),""))</f>
        <v>#N/A</v>
      </c>
      <c r="E44" s="3" t="e">
        <f>IF('Coach Card'!$T$5="",IF($D$1="Team",IF(AH43="","",AH43),""),IF($D$1="Team",IF(AE543="","",AE543),""))</f>
        <v>#N/A</v>
      </c>
      <c r="F44" t="s">
        <v>1974</v>
      </c>
      <c r="G44">
        <v>0.25</v>
      </c>
      <c r="L44" s="1" t="s">
        <v>1766</v>
      </c>
      <c r="M44" t="s">
        <v>1649</v>
      </c>
      <c r="N44" s="3">
        <v>4.95</v>
      </c>
      <c r="O44" s="1" t="s">
        <v>1766</v>
      </c>
      <c r="P44" t="s">
        <v>1649</v>
      </c>
      <c r="Q44" s="3">
        <v>4.95</v>
      </c>
      <c r="R44" s="1" t="s">
        <v>1766</v>
      </c>
      <c r="S44" t="s">
        <v>1649</v>
      </c>
      <c r="T44" s="3">
        <v>4.95</v>
      </c>
      <c r="U44" s="1" t="s">
        <v>1766</v>
      </c>
      <c r="V44" t="s">
        <v>1649</v>
      </c>
      <c r="W44" s="3">
        <v>4.95</v>
      </c>
      <c r="X44" s="1" t="s">
        <v>1766</v>
      </c>
      <c r="Y44" t="s">
        <v>1649</v>
      </c>
      <c r="Z44" s="3">
        <v>4.95</v>
      </c>
      <c r="AK44" t="s">
        <v>1647</v>
      </c>
      <c r="AL44" t="s">
        <v>1647</v>
      </c>
      <c r="AM44">
        <v>1</v>
      </c>
    </row>
    <row r="45" spans="1:39" x14ac:dyDescent="0.35">
      <c r="A45" s="6" t="e">
        <f>IF('Coach Card'!$T$5="",IF($B$1="Solo",IF(L44="","",L44),IF($B$1="MSolo",IF(O44="","",O44),IF($B$1="Duet",IF(R44="","",R44),IF($B$1="Mixed",IF(U44="","",U44),IF(X44="","",X44))))),IF($B$1="Solo",IF(L544="","",L544),IF($B$1="MSolo",IF(L544="","",L544),IF($B$1="Duet",IF(O544="","",O544),IF($B$1="Mixed",IF(R544="","",R544),IF(U544="","",U544))))))</f>
        <v>#N/A</v>
      </c>
      <c r="B45" s="3" t="e">
        <f>IF('Coach Card'!$T$5="",IF($B$1="Solo",IF(M44="","",M44),IF($B$1="MSolo",IF(P44="","",P44),IF($B$1="Duet",IF(S44="","",S44),IF($B$1="Mixed",IF(V44="","",V44),IF(Y44="","",Y44))))),IF($B$1="Solo",IF(M544="","",M544),IF($B$1="MSolo",IF(M544="","",M544),IF($B$1="Duet",IF(P544="","",P544),IF($B$1="Mixed",IF(S544="","",S544),IF(V544="","",V544))))))</f>
        <v>#N/A</v>
      </c>
      <c r="C45" s="3" t="e">
        <f>IF('Coach Card'!$T$5="",IF($B$1="Solo",IF(N44="","",N44),IF($B$1="MSolo",IF(Q44="","",Q44),IF($B$1="Duet",IF(T44="","",T44),IF($B$1="Mixed",IF(W44="","",W44),IF(Z44="","",Z44))))),IF($B$1="Solo",IF(N544="","",N544),IF($B$1="MSolo",IF(N544="","",N544),IF($B$1="Duet",IF(Q544="","",Q544),IF($B$1="Mixed",IF(T544="","",T544),IF(W544="","",W544))))))</f>
        <v>#N/A</v>
      </c>
      <c r="D45" s="3" t="e">
        <f>IF('Coach Card'!$T$5="",IF($D$1="Team",IF(AG44="","",AG44),""),IF($D$1="Team",IF(AD544="","",AD544),""))</f>
        <v>#N/A</v>
      </c>
      <c r="E45" s="3" t="e">
        <f>IF('Coach Card'!$T$5="",IF($D$1="Team",IF(AH44="","",AH44),""),IF($D$1="Team",IF(AE544="","",AE544),""))</f>
        <v>#N/A</v>
      </c>
      <c r="F45" t="s">
        <v>1975</v>
      </c>
      <c r="G45">
        <v>0.32500000000000001</v>
      </c>
      <c r="L45" s="1" t="s">
        <v>1766</v>
      </c>
      <c r="M45" t="s">
        <v>1650</v>
      </c>
      <c r="N45" s="3">
        <v>5</v>
      </c>
      <c r="O45" s="1" t="s">
        <v>1766</v>
      </c>
      <c r="P45" t="s">
        <v>1650</v>
      </c>
      <c r="Q45" s="3">
        <v>5</v>
      </c>
      <c r="R45" s="1" t="s">
        <v>1766</v>
      </c>
      <c r="S45" t="s">
        <v>1650</v>
      </c>
      <c r="T45" s="3">
        <v>5</v>
      </c>
      <c r="U45" s="1" t="s">
        <v>1766</v>
      </c>
      <c r="V45" t="s">
        <v>1650</v>
      </c>
      <c r="W45" s="3">
        <v>5</v>
      </c>
      <c r="X45" s="1" t="s">
        <v>1766</v>
      </c>
      <c r="Y45" t="s">
        <v>1650</v>
      </c>
      <c r="Z45" s="3">
        <v>5</v>
      </c>
      <c r="AK45" t="s">
        <v>1648</v>
      </c>
      <c r="AL45" t="s">
        <v>1648</v>
      </c>
      <c r="AM45">
        <v>1</v>
      </c>
    </row>
    <row r="46" spans="1:39" x14ac:dyDescent="0.35">
      <c r="A46" s="6" t="e">
        <f>IF('Coach Card'!$T$5="",IF($B$1="Solo",IF(L45="","",L45),IF($B$1="MSolo",IF(O45="","",O45),IF($B$1="Duet",IF(R45="","",R45),IF($B$1="Mixed",IF(U45="","",U45),IF(X45="","",X45))))),IF($B$1="Solo",IF(L545="","",L545),IF($B$1="MSolo",IF(L545="","",L545),IF($B$1="Duet",IF(O545="","",O545),IF($B$1="Mixed",IF(R545="","",R545),IF(U545="","",U545))))))</f>
        <v>#N/A</v>
      </c>
      <c r="B46" s="3" t="e">
        <f>IF('Coach Card'!$T$5="",IF($B$1="Solo",IF(M45="","",M45),IF($B$1="MSolo",IF(P45="","",P45),IF($B$1="Duet",IF(S45="","",S45),IF($B$1="Mixed",IF(V45="","",V45),IF(Y45="","",Y45))))),IF($B$1="Solo",IF(M545="","",M545),IF($B$1="MSolo",IF(M545="","",M545),IF($B$1="Duet",IF(P545="","",P545),IF($B$1="Mixed",IF(S545="","",S545),IF(V545="","",V545))))))</f>
        <v>#N/A</v>
      </c>
      <c r="C46" s="3" t="e">
        <f>IF('Coach Card'!$T$5="",IF($B$1="Solo",IF(N45="","",N45),IF($B$1="MSolo",IF(Q45="","",Q45),IF($B$1="Duet",IF(T45="","",T45),IF($B$1="Mixed",IF(W45="","",W45),IF(Z45="","",Z45))))),IF($B$1="Solo",IF(N545="","",N545),IF($B$1="MSolo",IF(N545="","",N545),IF($B$1="Duet",IF(Q545="","",Q545),IF($B$1="Mixed",IF(T545="","",T545),IF(W545="","",W545))))))</f>
        <v>#N/A</v>
      </c>
      <c r="D46" s="3" t="e">
        <f>IF('Coach Card'!$T$5="",IF($D$1="Team",IF(AG45="","",AG45),""),IF($D$1="Team",IF(AD545="","",AD545),""))</f>
        <v>#N/A</v>
      </c>
      <c r="E46" s="3" t="e">
        <f>IF('Coach Card'!$T$5="",IF($D$1="Team",IF(AH45="","",AH45),""),IF($D$1="Team",IF(AE545="","",AE545),""))</f>
        <v>#N/A</v>
      </c>
      <c r="F46" t="s">
        <v>1976</v>
      </c>
      <c r="G46">
        <v>0.32500000000000001</v>
      </c>
      <c r="L46" s="1" t="s">
        <v>1766</v>
      </c>
      <c r="M46" t="s">
        <v>1651</v>
      </c>
      <c r="N46" s="3">
        <v>2.9</v>
      </c>
      <c r="O46" s="1" t="s">
        <v>1766</v>
      </c>
      <c r="P46" t="s">
        <v>1651</v>
      </c>
      <c r="Q46" s="3">
        <v>2.9</v>
      </c>
      <c r="R46" s="1" t="s">
        <v>1766</v>
      </c>
      <c r="S46" t="s">
        <v>1651</v>
      </c>
      <c r="T46" s="3">
        <v>2.9</v>
      </c>
      <c r="U46" s="1" t="s">
        <v>1766</v>
      </c>
      <c r="V46" t="s">
        <v>1651</v>
      </c>
      <c r="W46" s="3">
        <v>2.9</v>
      </c>
      <c r="X46" s="1" t="s">
        <v>1766</v>
      </c>
      <c r="Y46" t="s">
        <v>1651</v>
      </c>
      <c r="Z46" s="3">
        <v>2.9</v>
      </c>
      <c r="AK46" t="s">
        <v>1649</v>
      </c>
      <c r="AL46" t="s">
        <v>1649</v>
      </c>
      <c r="AM46">
        <v>1</v>
      </c>
    </row>
    <row r="47" spans="1:39" x14ac:dyDescent="0.35">
      <c r="A47" s="6" t="e">
        <f>IF('Coach Card'!$T$5="",IF($B$1="Solo",IF(L46="","",L46),IF($B$1="MSolo",IF(O46="","",O46),IF($B$1="Duet",IF(R46="","",R46),IF($B$1="Mixed",IF(U46="","",U46),IF(X46="","",X46))))),IF($B$1="Solo",IF(L546="","",L546),IF($B$1="MSolo",IF(L546="","",L546),IF($B$1="Duet",IF(O546="","",O546),IF($B$1="Mixed",IF(R546="","",R546),IF(U546="","",U546))))))</f>
        <v>#N/A</v>
      </c>
      <c r="B47" s="3" t="e">
        <f>IF('Coach Card'!$T$5="",IF($B$1="Solo",IF(M46="","",M46),IF($B$1="MSolo",IF(P46="","",P46),IF($B$1="Duet",IF(S46="","",S46),IF($B$1="Mixed",IF(V46="","",V46),IF(Y46="","",Y46))))),IF($B$1="Solo",IF(M546="","",M546),IF($B$1="MSolo",IF(M546="","",M546),IF($B$1="Duet",IF(P546="","",P546),IF($B$1="Mixed",IF(S546="","",S546),IF(V546="","",V546))))))</f>
        <v>#N/A</v>
      </c>
      <c r="C47" s="3" t="e">
        <f>IF('Coach Card'!$T$5="",IF($B$1="Solo",IF(N46="","",N46),IF($B$1="MSolo",IF(Q46="","",Q46),IF($B$1="Duet",IF(T46="","",T46),IF($B$1="Mixed",IF(W46="","",W46),IF(Z46="","",Z46))))),IF($B$1="Solo",IF(N546="","",N546),IF($B$1="MSolo",IF(N546="","",N546),IF($B$1="Duet",IF(Q546="","",Q546),IF($B$1="Mixed",IF(T546="","",T546),IF(W546="","",W546))))))</f>
        <v>#N/A</v>
      </c>
      <c r="D47" s="3" t="e">
        <f>IF('Coach Card'!$T$5="",IF($D$1="Team",IF(AG46="","",AG46),""),IF($D$1="Team",IF(AD546="","",AD546),""))</f>
        <v>#N/A</v>
      </c>
      <c r="E47" s="3" t="e">
        <f>IF('Coach Card'!$T$5="",IF($D$1="Team",IF(AH46="","",AH46),""),IF($D$1="Team",IF(AE546="","",AE546),""))</f>
        <v>#N/A</v>
      </c>
      <c r="F47" t="s">
        <v>1977</v>
      </c>
      <c r="G47">
        <v>0.32500000000000001</v>
      </c>
      <c r="L47" s="1" t="s">
        <v>1766</v>
      </c>
      <c r="M47" t="s">
        <v>1652</v>
      </c>
      <c r="N47" s="3">
        <v>5.75</v>
      </c>
      <c r="O47" s="1" t="s">
        <v>1766</v>
      </c>
      <c r="P47" t="s">
        <v>1652</v>
      </c>
      <c r="Q47" s="3">
        <v>5.75</v>
      </c>
      <c r="R47" s="1" t="s">
        <v>1766</v>
      </c>
      <c r="S47" t="s">
        <v>1652</v>
      </c>
      <c r="T47" s="3">
        <v>5.75</v>
      </c>
      <c r="U47" s="1" t="s">
        <v>1766</v>
      </c>
      <c r="V47" t="s">
        <v>1652</v>
      </c>
      <c r="W47" s="3">
        <v>5.75</v>
      </c>
      <c r="X47" s="1" t="s">
        <v>1766</v>
      </c>
      <c r="Y47" t="s">
        <v>1652</v>
      </c>
      <c r="Z47" s="3">
        <v>5.75</v>
      </c>
      <c r="AK47" t="s">
        <v>1650</v>
      </c>
      <c r="AL47" t="s">
        <v>1650</v>
      </c>
      <c r="AM47">
        <v>1</v>
      </c>
    </row>
    <row r="48" spans="1:39" x14ac:dyDescent="0.35">
      <c r="A48" s="6" t="e">
        <f>IF('Coach Card'!$T$5="",IF($B$1="Solo",IF(L47="","",L47),IF($B$1="MSolo",IF(O47="","",O47),IF($B$1="Duet",IF(R47="","",R47),IF($B$1="Mixed",IF(U47="","",U47),IF(X47="","",X47))))),IF($B$1="Solo",IF(L547="","",L547),IF($B$1="MSolo",IF(L547="","",L547),IF($B$1="Duet",IF(O547="","",O547),IF($B$1="Mixed",IF(R547="","",R547),IF(U547="","",U547))))))</f>
        <v>#N/A</v>
      </c>
      <c r="B48" s="3" t="e">
        <f>IF('Coach Card'!$T$5="",IF($B$1="Solo",IF(M47="","",M47),IF($B$1="MSolo",IF(P47="","",P47),IF($B$1="Duet",IF(S47="","",S47),IF($B$1="Mixed",IF(V47="","",V47),IF(Y47="","",Y47))))),IF($B$1="Solo",IF(M547="","",M547),IF($B$1="MSolo",IF(M547="","",M547),IF($B$1="Duet",IF(P547="","",P547),IF($B$1="Mixed",IF(S547="","",S547),IF(V547="","",V547))))))</f>
        <v>#N/A</v>
      </c>
      <c r="C48" s="3" t="e">
        <f>IF('Coach Card'!$T$5="",IF($B$1="Solo",IF(N47="","",N47),IF($B$1="MSolo",IF(Q47="","",Q47),IF($B$1="Duet",IF(T47="","",T47),IF($B$1="Mixed",IF(W47="","",W47),IF(Z47="","",Z47))))),IF($B$1="Solo",IF(N547="","",N547),IF($B$1="MSolo",IF(N547="","",N547),IF($B$1="Duet",IF(Q547="","",Q547),IF($B$1="Mixed",IF(T547="","",T547),IF(W547="","",W547))))))</f>
        <v>#N/A</v>
      </c>
      <c r="D48" s="3" t="e">
        <f>IF('Coach Card'!$T$5="",IF($D$1="Team",IF(AG47="","",AG47),""),IF($D$1="Team",IF(AD547="","",AD547),""))</f>
        <v>#N/A</v>
      </c>
      <c r="E48" s="3" t="e">
        <f>IF('Coach Card'!$T$5="",IF($D$1="Team",IF(AH47="","",AH47),""),IF($D$1="Team",IF(AE547="","",AE547),""))</f>
        <v>#N/A</v>
      </c>
      <c r="F48" t="s">
        <v>1978</v>
      </c>
      <c r="G48">
        <v>0.32500000000000001</v>
      </c>
      <c r="L48" s="1" t="s">
        <v>1766</v>
      </c>
      <c r="M48" t="s">
        <v>1653</v>
      </c>
      <c r="N48" s="3">
        <v>5.8</v>
      </c>
      <c r="O48" s="1" t="s">
        <v>1766</v>
      </c>
      <c r="P48" t="s">
        <v>1653</v>
      </c>
      <c r="Q48" s="3">
        <v>5.8</v>
      </c>
      <c r="R48" s="1" t="s">
        <v>1766</v>
      </c>
      <c r="S48" t="s">
        <v>1653</v>
      </c>
      <c r="T48" s="3">
        <v>5.8</v>
      </c>
      <c r="U48" s="1" t="s">
        <v>1766</v>
      </c>
      <c r="V48" t="s">
        <v>1653</v>
      </c>
      <c r="W48" s="3">
        <v>5.8</v>
      </c>
      <c r="X48" s="1" t="s">
        <v>1766</v>
      </c>
      <c r="Y48" t="s">
        <v>1653</v>
      </c>
      <c r="Z48" s="3">
        <v>5.8</v>
      </c>
      <c r="AK48" t="s">
        <v>1651</v>
      </c>
      <c r="AL48" t="s">
        <v>1651</v>
      </c>
      <c r="AM48">
        <v>1</v>
      </c>
    </row>
    <row r="49" spans="1:39" x14ac:dyDescent="0.35">
      <c r="A49" s="6" t="e">
        <f>IF('Coach Card'!$T$5="",IF($B$1="Solo",IF(L48="","",L48),IF($B$1="MSolo",IF(O48="","",O48),IF($B$1="Duet",IF(R48="","",R48),IF($B$1="Mixed",IF(U48="","",U48),IF(X48="","",X48))))),IF($B$1="Solo",IF(L548="","",L548),IF($B$1="MSolo",IF(L548="","",L548),IF($B$1="Duet",IF(O548="","",O548),IF($B$1="Mixed",IF(R548="","",R548),IF(U548="","",U548))))))</f>
        <v>#N/A</v>
      </c>
      <c r="B49" s="3" t="e">
        <f>IF('Coach Card'!$T$5="",IF($B$1="Solo",IF(M48="","",M48),IF($B$1="MSolo",IF(P48="","",P48),IF($B$1="Duet",IF(S48="","",S48),IF($B$1="Mixed",IF(V48="","",V48),IF(Y48="","",Y48))))),IF($B$1="Solo",IF(M548="","",M548),IF($B$1="MSolo",IF(M548="","",M548),IF($B$1="Duet",IF(P548="","",P548),IF($B$1="Mixed",IF(S548="","",S548),IF(V548="","",V548))))))</f>
        <v>#N/A</v>
      </c>
      <c r="C49" s="3" t="e">
        <f>IF('Coach Card'!$T$5="",IF($B$1="Solo",IF(N48="","",N48),IF($B$1="MSolo",IF(Q48="","",Q48),IF($B$1="Duet",IF(T48="","",T48),IF($B$1="Mixed",IF(W48="","",W48),IF(Z48="","",Z48))))),IF($B$1="Solo",IF(N548="","",N548),IF($B$1="MSolo",IF(N548="","",N548),IF($B$1="Duet",IF(Q548="","",Q548),IF($B$1="Mixed",IF(T548="","",T548),IF(W548="","",W548))))))</f>
        <v>#N/A</v>
      </c>
      <c r="D49" s="3" t="e">
        <f>IF('Coach Card'!$T$5="",IF($D$1="Team",IF(AG48="","",AG48),""),IF($D$1="Team",IF(AD548="","",AD548),""))</f>
        <v>#N/A</v>
      </c>
      <c r="E49" s="3" t="e">
        <f>IF('Coach Card'!$T$5="",IF($D$1="Team",IF(AH48="","",AH48),""),IF($D$1="Team",IF(AE548="","",AE548),""))</f>
        <v>#N/A</v>
      </c>
      <c r="F49" t="s">
        <v>1979</v>
      </c>
      <c r="G49">
        <v>0.4</v>
      </c>
      <c r="L49" s="1" t="s">
        <v>1766</v>
      </c>
      <c r="M49" t="s">
        <v>1654</v>
      </c>
      <c r="N49" s="3">
        <v>3.4</v>
      </c>
      <c r="O49" s="1" t="s">
        <v>1766</v>
      </c>
      <c r="P49" t="s">
        <v>1654</v>
      </c>
      <c r="Q49" s="3">
        <v>3.4</v>
      </c>
      <c r="R49" s="1" t="s">
        <v>1766</v>
      </c>
      <c r="S49" t="s">
        <v>1654</v>
      </c>
      <c r="T49" s="3">
        <v>3.4</v>
      </c>
      <c r="U49" s="1" t="s">
        <v>1766</v>
      </c>
      <c r="V49" t="s">
        <v>1654</v>
      </c>
      <c r="W49" s="3">
        <v>3.4</v>
      </c>
      <c r="X49" s="1" t="s">
        <v>1766</v>
      </c>
      <c r="Y49" t="s">
        <v>1654</v>
      </c>
      <c r="Z49" s="3">
        <v>3.4</v>
      </c>
      <c r="AK49" t="s">
        <v>1652</v>
      </c>
      <c r="AL49" t="s">
        <v>1652</v>
      </c>
      <c r="AM49">
        <v>1</v>
      </c>
    </row>
    <row r="50" spans="1:39" x14ac:dyDescent="0.35">
      <c r="A50" s="6" t="e">
        <f>IF('Coach Card'!$T$5="",IF($B$1="Solo",IF(L49="","",L49),IF($B$1="MSolo",IF(O49="","",O49),IF($B$1="Duet",IF(R49="","",R49),IF($B$1="Mixed",IF(U49="","",U49),IF(X49="","",X49))))),IF($B$1="Solo",IF(L549="","",L549),IF($B$1="MSolo",IF(L549="","",L549),IF($B$1="Duet",IF(O549="","",O549),IF($B$1="Mixed",IF(R549="","",R549),IF(U549="","",U549))))))</f>
        <v>#N/A</v>
      </c>
      <c r="B50" s="3" t="e">
        <f>IF('Coach Card'!$T$5="",IF($B$1="Solo",IF(M49="","",M49),IF($B$1="MSolo",IF(P49="","",P49),IF($B$1="Duet",IF(S49="","",S49),IF($B$1="Mixed",IF(V49="","",V49),IF(Y49="","",Y49))))),IF($B$1="Solo",IF(M549="","",M549),IF($B$1="MSolo",IF(M549="","",M549),IF($B$1="Duet",IF(P549="","",P549),IF($B$1="Mixed",IF(S549="","",S549),IF(V549="","",V549))))))</f>
        <v>#N/A</v>
      </c>
      <c r="C50" s="3" t="e">
        <f>IF('Coach Card'!$T$5="",IF($B$1="Solo",IF(N49="","",N49),IF($B$1="MSolo",IF(Q49="","",Q49),IF($B$1="Duet",IF(T49="","",T49),IF($B$1="Mixed",IF(W49="","",W49),IF(Z49="","",Z49))))),IF($B$1="Solo",IF(N549="","",N549),IF($B$1="MSolo",IF(N549="","",N549),IF($B$1="Duet",IF(Q549="","",Q549),IF($B$1="Mixed",IF(T549="","",T549),IF(W549="","",W549))))))</f>
        <v>#N/A</v>
      </c>
      <c r="D50" s="3" t="e">
        <f>IF('Coach Card'!$T$5="",IF($D$1="Team",IF(AG49="","",AG49),""),IF($D$1="Team",IF(AD549="","",AD549),""))</f>
        <v>#N/A</v>
      </c>
      <c r="E50" s="3" t="e">
        <f>IF('Coach Card'!$T$5="",IF($D$1="Team",IF(AH49="","",AH49),""),IF($D$1="Team",IF(AE549="","",AE549),""))</f>
        <v>#N/A</v>
      </c>
      <c r="F50" t="s">
        <v>1980</v>
      </c>
      <c r="G50">
        <v>0.4</v>
      </c>
      <c r="L50" s="1" t="s">
        <v>1766</v>
      </c>
      <c r="M50" t="s">
        <v>1655</v>
      </c>
      <c r="N50" s="3">
        <v>3.9</v>
      </c>
      <c r="O50" s="1" t="s">
        <v>1766</v>
      </c>
      <c r="P50" t="s">
        <v>1655</v>
      </c>
      <c r="Q50" s="3">
        <v>3.9</v>
      </c>
      <c r="R50" s="1" t="s">
        <v>1766</v>
      </c>
      <c r="S50" t="s">
        <v>1655</v>
      </c>
      <c r="T50" s="3">
        <v>3.9</v>
      </c>
      <c r="U50" s="1" t="s">
        <v>1766</v>
      </c>
      <c r="V50" t="s">
        <v>1655</v>
      </c>
      <c r="W50" s="3">
        <v>3.9</v>
      </c>
      <c r="X50" s="1" t="s">
        <v>1766</v>
      </c>
      <c r="Y50" t="s">
        <v>1655</v>
      </c>
      <c r="Z50" s="3">
        <v>3.9</v>
      </c>
      <c r="AK50" t="s">
        <v>1653</v>
      </c>
      <c r="AL50" t="s">
        <v>1653</v>
      </c>
      <c r="AM50">
        <v>1</v>
      </c>
    </row>
    <row r="51" spans="1:39" x14ac:dyDescent="0.35">
      <c r="A51" s="6" t="e">
        <f>IF('Coach Card'!$T$5="",IF($B$1="Solo",IF(L50="","",L50),IF($B$1="MSolo",IF(O50="","",O50),IF($B$1="Duet",IF(R50="","",R50),IF($B$1="Mixed",IF(U50="","",U50),IF(X50="","",X50))))),IF($B$1="Solo",IF(L550="","",L550),IF($B$1="MSolo",IF(L550="","",L550),IF($B$1="Duet",IF(O550="","",O550),IF($B$1="Mixed",IF(R550="","",R550),IF(U550="","",U550))))))</f>
        <v>#N/A</v>
      </c>
      <c r="B51" s="3" t="e">
        <f>IF('Coach Card'!$T$5="",IF($B$1="Solo",IF(M50="","",M50),IF($B$1="MSolo",IF(P50="","",P50),IF($B$1="Duet",IF(S50="","",S50),IF($B$1="Mixed",IF(V50="","",V50),IF(Y50="","",Y50))))),IF($B$1="Solo",IF(M550="","",M550),IF($B$1="MSolo",IF(M550="","",M550),IF($B$1="Duet",IF(P550="","",P550),IF($B$1="Mixed",IF(S550="","",S550),IF(V550="","",V550))))))</f>
        <v>#N/A</v>
      </c>
      <c r="C51" s="3" t="e">
        <f>IF('Coach Card'!$T$5="",IF($B$1="Solo",IF(N50="","",N50),IF($B$1="MSolo",IF(Q50="","",Q50),IF($B$1="Duet",IF(T50="","",T50),IF($B$1="Mixed",IF(W50="","",W50),IF(Z50="","",Z50))))),IF($B$1="Solo",IF(N550="","",N550),IF($B$1="MSolo",IF(N550="","",N550),IF($B$1="Duet",IF(Q550="","",Q550),IF($B$1="Mixed",IF(T550="","",T550),IF(W550="","",W550))))))</f>
        <v>#N/A</v>
      </c>
      <c r="D51" s="3" t="e">
        <f>IF('Coach Card'!$T$5="",IF($D$1="Team",IF(AG50="","",AG50),""),IF($D$1="Team",IF(AD550="","",AD550),""))</f>
        <v>#N/A</v>
      </c>
      <c r="E51" s="3" t="e">
        <f>IF('Coach Card'!$T$5="",IF($D$1="Team",IF(AH50="","",AH50),""),IF($D$1="Team",IF(AE550="","",AE550),""))</f>
        <v>#N/A</v>
      </c>
      <c r="F51" t="s">
        <v>1981</v>
      </c>
      <c r="G51">
        <v>0.4</v>
      </c>
      <c r="L51" s="1" t="s">
        <v>1766</v>
      </c>
      <c r="M51" t="s">
        <v>1656</v>
      </c>
      <c r="N51" s="3">
        <v>4.4000000000000004</v>
      </c>
      <c r="O51" s="1" t="s">
        <v>1766</v>
      </c>
      <c r="P51" t="s">
        <v>1656</v>
      </c>
      <c r="Q51" s="3">
        <v>4.4000000000000004</v>
      </c>
      <c r="R51" s="1" t="s">
        <v>1766</v>
      </c>
      <c r="S51" t="s">
        <v>1656</v>
      </c>
      <c r="T51" s="3">
        <v>4.4000000000000004</v>
      </c>
      <c r="U51" s="1" t="s">
        <v>1766</v>
      </c>
      <c r="V51" t="s">
        <v>1656</v>
      </c>
      <c r="W51" s="3">
        <v>4.4000000000000004</v>
      </c>
      <c r="X51" s="1" t="s">
        <v>1766</v>
      </c>
      <c r="Y51" t="s">
        <v>1656</v>
      </c>
      <c r="Z51" s="3">
        <v>4.4000000000000004</v>
      </c>
      <c r="AK51" t="s">
        <v>1654</v>
      </c>
      <c r="AL51" t="s">
        <v>1654</v>
      </c>
      <c r="AM51">
        <v>1</v>
      </c>
    </row>
    <row r="52" spans="1:39" x14ac:dyDescent="0.35">
      <c r="A52" s="6" t="e">
        <f>IF('Coach Card'!$T$5="",IF($B$1="Solo",IF(L51="","",L51),IF($B$1="MSolo",IF(O51="","",O51),IF($B$1="Duet",IF(R51="","",R51),IF($B$1="Mixed",IF(U51="","",U51),IF(X51="","",X51))))),IF($B$1="Solo",IF(L551="","",L551),IF($B$1="MSolo",IF(L551="","",L551),IF($B$1="Duet",IF(O551="","",O551),IF($B$1="Mixed",IF(R551="","",R551),IF(U551="","",U551))))))</f>
        <v>#N/A</v>
      </c>
      <c r="B52" s="3" t="e">
        <f>IF('Coach Card'!$T$5="",IF($B$1="Solo",IF(M51="","",M51),IF($B$1="MSolo",IF(P51="","",P51),IF($B$1="Duet",IF(S51="","",S51),IF($B$1="Mixed",IF(V51="","",V51),IF(Y51="","",Y51))))),IF($B$1="Solo",IF(M551="","",M551),IF($B$1="MSolo",IF(M551="","",M551),IF($B$1="Duet",IF(P551="","",P551),IF($B$1="Mixed",IF(S551="","",S551),IF(V551="","",V551))))))</f>
        <v>#N/A</v>
      </c>
      <c r="C52" s="3" t="e">
        <f>IF('Coach Card'!$T$5="",IF($B$1="Solo",IF(N51="","",N51),IF($B$1="MSolo",IF(Q51="","",Q51),IF($B$1="Duet",IF(T51="","",T51),IF($B$1="Mixed",IF(W51="","",W51),IF(Z51="","",Z51))))),IF($B$1="Solo",IF(N551="","",N551),IF($B$1="MSolo",IF(N551="","",N551),IF($B$1="Duet",IF(Q551="","",Q551),IF($B$1="Mixed",IF(T551="","",T551),IF(W551="","",W551))))))</f>
        <v>#N/A</v>
      </c>
      <c r="D52" s="3" t="e">
        <f>IF('Coach Card'!$T$5="",IF($D$1="Team",IF(AG51="","",AG51),""),IF($D$1="Team",IF(AD551="","",AD551),""))</f>
        <v>#N/A</v>
      </c>
      <c r="E52" s="3" t="e">
        <f>IF('Coach Card'!$T$5="",IF($D$1="Team",IF(AH51="","",AH51),""),IF($D$1="Team",IF(AE551="","",AE551),""))</f>
        <v>#N/A</v>
      </c>
      <c r="F52" t="s">
        <v>1982</v>
      </c>
      <c r="G52">
        <v>0.4</v>
      </c>
      <c r="L52" s="1" t="s">
        <v>1766</v>
      </c>
      <c r="M52" t="s">
        <v>1657</v>
      </c>
      <c r="N52" s="3">
        <v>4.9000000000000004</v>
      </c>
      <c r="O52" s="1" t="s">
        <v>1766</v>
      </c>
      <c r="P52" t="s">
        <v>1657</v>
      </c>
      <c r="Q52" s="3">
        <v>4.9000000000000004</v>
      </c>
      <c r="R52" s="1" t="s">
        <v>1766</v>
      </c>
      <c r="S52" t="s">
        <v>1657</v>
      </c>
      <c r="T52" s="3">
        <v>4.9000000000000004</v>
      </c>
      <c r="U52" s="1" t="s">
        <v>1766</v>
      </c>
      <c r="V52" t="s">
        <v>1657</v>
      </c>
      <c r="W52" s="3">
        <v>4.9000000000000004</v>
      </c>
      <c r="X52" s="1" t="s">
        <v>1766</v>
      </c>
      <c r="Y52" t="s">
        <v>1657</v>
      </c>
      <c r="Z52" s="3">
        <v>4.9000000000000004</v>
      </c>
      <c r="AK52" t="s">
        <v>1655</v>
      </c>
      <c r="AL52" t="s">
        <v>1655</v>
      </c>
      <c r="AM52">
        <v>1</v>
      </c>
    </row>
    <row r="53" spans="1:39" x14ac:dyDescent="0.35">
      <c r="A53" s="6" t="e">
        <f>IF('Coach Card'!$T$5="",IF($B$1="Solo",IF(L52="","",L52),IF($B$1="MSolo",IF(O52="","",O52),IF($B$1="Duet",IF(R52="","",R52),IF($B$1="Mixed",IF(U52="","",U52),IF(X52="","",X52))))),IF($B$1="Solo",IF(L552="","",L552),IF($B$1="MSolo",IF(L552="","",L552),IF($B$1="Duet",IF(O552="","",O552),IF($B$1="Mixed",IF(R552="","",R552),IF(U552="","",U552))))))</f>
        <v>#N/A</v>
      </c>
      <c r="B53" s="3" t="e">
        <f>IF('Coach Card'!$T$5="",IF($B$1="Solo",IF(M52="","",M52),IF($B$1="MSolo",IF(P52="","",P52),IF($B$1="Duet",IF(S52="","",S52),IF($B$1="Mixed",IF(V52="","",V52),IF(Y52="","",Y52))))),IF($B$1="Solo",IF(M552="","",M552),IF($B$1="MSolo",IF(M552="","",M552),IF($B$1="Duet",IF(P552="","",P552),IF($B$1="Mixed",IF(S552="","",S552),IF(V552="","",V552))))))</f>
        <v>#N/A</v>
      </c>
      <c r="C53" s="3" t="e">
        <f>IF('Coach Card'!$T$5="",IF($B$1="Solo",IF(N52="","",N52),IF($B$1="MSolo",IF(Q52="","",Q52),IF($B$1="Duet",IF(T52="","",T52),IF($B$1="Mixed",IF(W52="","",W52),IF(Z52="","",Z52))))),IF($B$1="Solo",IF(N552="","",N552),IF($B$1="MSolo",IF(N552="","",N552),IF($B$1="Duet",IF(Q552="","",Q552),IF($B$1="Mixed",IF(T552="","",T552),IF(W552="","",W552))))))</f>
        <v>#N/A</v>
      </c>
      <c r="D53" s="3" t="e">
        <f>IF('Coach Card'!$T$5="",IF($D$1="Team",IF(AG52="","",AG52),""),IF($D$1="Team",IF(AD552="","",AD552),""))</f>
        <v>#N/A</v>
      </c>
      <c r="E53" s="3" t="e">
        <f>IF('Coach Card'!$T$5="",IF($D$1="Team",IF(AH52="","",AH52),""),IF($D$1="Team",IF(AE552="","",AE552),""))</f>
        <v>#N/A</v>
      </c>
      <c r="F53" t="s">
        <v>1983</v>
      </c>
      <c r="G53">
        <v>0.4</v>
      </c>
      <c r="L53" s="1" t="s">
        <v>1767</v>
      </c>
      <c r="M53" t="s">
        <v>1658</v>
      </c>
      <c r="N53" s="3">
        <v>0.1</v>
      </c>
      <c r="O53" s="1" t="s">
        <v>1767</v>
      </c>
      <c r="P53" t="s">
        <v>1658</v>
      </c>
      <c r="Q53" s="3">
        <v>0.1</v>
      </c>
      <c r="R53" s="1" t="s">
        <v>1767</v>
      </c>
      <c r="S53" t="s">
        <v>1658</v>
      </c>
      <c r="T53" s="3">
        <v>0.1</v>
      </c>
      <c r="U53" s="1" t="s">
        <v>1767</v>
      </c>
      <c r="V53" t="s">
        <v>1658</v>
      </c>
      <c r="W53" s="3">
        <v>0.1</v>
      </c>
      <c r="X53" s="1" t="s">
        <v>1767</v>
      </c>
      <c r="Y53" t="s">
        <v>1658</v>
      </c>
      <c r="Z53" s="3">
        <v>0.1</v>
      </c>
      <c r="AK53" t="s">
        <v>1656</v>
      </c>
      <c r="AL53" t="s">
        <v>1656</v>
      </c>
      <c r="AM53">
        <v>1</v>
      </c>
    </row>
    <row r="54" spans="1:39" x14ac:dyDescent="0.35">
      <c r="A54" s="6" t="e">
        <f>IF('Coach Card'!$T$5="",IF($B$1="Solo",IF(L53="","",L53),IF($B$1="MSolo",IF(O53="","",O53),IF($B$1="Duet",IF(R53="","",R53),IF($B$1="Mixed",IF(U53="","",U53),IF(X53="","",X53))))),IF($B$1="Solo",IF(L553="","",L553),IF($B$1="MSolo",IF(L553="","",L553),IF($B$1="Duet",IF(O553="","",O553),IF($B$1="Mixed",IF(R553="","",R553),IF(U553="","",U553))))))</f>
        <v>#N/A</v>
      </c>
      <c r="B54" s="3" t="e">
        <f>IF('Coach Card'!$T$5="",IF($B$1="Solo",IF(M53="","",M53),IF($B$1="MSolo",IF(P53="","",P53),IF($B$1="Duet",IF(S53="","",S53),IF($B$1="Mixed",IF(V53="","",V53),IF(Y53="","",Y53))))),IF($B$1="Solo",IF(M553="","",M553),IF($B$1="MSolo",IF(M553="","",M553),IF($B$1="Duet",IF(P553="","",P553),IF($B$1="Mixed",IF(S553="","",S553),IF(V553="","",V553))))))</f>
        <v>#N/A</v>
      </c>
      <c r="C54" s="3" t="e">
        <f>IF('Coach Card'!$T$5="",IF($B$1="Solo",IF(N53="","",N53),IF($B$1="MSolo",IF(Q53="","",Q53),IF($B$1="Duet",IF(T53="","",T53),IF($B$1="Mixed",IF(W53="","",W53),IF(Z53="","",Z53))))),IF($B$1="Solo",IF(N553="","",N553),IF($B$1="MSolo",IF(N553="","",N553),IF($B$1="Duet",IF(Q553="","",Q553),IF($B$1="Mixed",IF(T553="","",T553),IF(W553="","",W553))))))</f>
        <v>#N/A</v>
      </c>
      <c r="D54" s="3" t="e">
        <f>IF('Coach Card'!$T$5="",IF($D$1="Team",IF(AG53="","",AG53),""),IF($D$1="Team",IF(AD553="","",AD553),""))</f>
        <v>#N/A</v>
      </c>
      <c r="E54" s="3" t="e">
        <f>IF('Coach Card'!$T$5="",IF($D$1="Team",IF(AH53="","",AH53),""),IF($D$1="Team",IF(AE553="","",AE553),""))</f>
        <v>#N/A</v>
      </c>
      <c r="F54" t="s">
        <v>1984</v>
      </c>
      <c r="G54">
        <v>0.45</v>
      </c>
      <c r="L54" s="1" t="s">
        <v>1767</v>
      </c>
      <c r="M54" t="s">
        <v>1659</v>
      </c>
      <c r="N54" s="3">
        <v>0.15</v>
      </c>
      <c r="O54" s="1" t="s">
        <v>1767</v>
      </c>
      <c r="P54" t="s">
        <v>1659</v>
      </c>
      <c r="Q54" s="3">
        <v>0.15</v>
      </c>
      <c r="R54" s="1" t="s">
        <v>1767</v>
      </c>
      <c r="S54" t="s">
        <v>1659</v>
      </c>
      <c r="T54" s="3">
        <v>0.15</v>
      </c>
      <c r="U54" s="1" t="s">
        <v>1767</v>
      </c>
      <c r="V54" t="s">
        <v>1659</v>
      </c>
      <c r="W54" s="3">
        <v>0.15</v>
      </c>
      <c r="X54" s="1" t="s">
        <v>1767</v>
      </c>
      <c r="Y54" t="s">
        <v>1659</v>
      </c>
      <c r="Z54" s="3">
        <v>0.15</v>
      </c>
      <c r="AK54" t="s">
        <v>1657</v>
      </c>
      <c r="AL54" t="s">
        <v>1657</v>
      </c>
      <c r="AM54">
        <v>1</v>
      </c>
    </row>
    <row r="55" spans="1:39" x14ac:dyDescent="0.35">
      <c r="A55" s="6" t="e">
        <f>IF('Coach Card'!$T$5="",IF($B$1="Solo",IF(L54="","",L54),IF($B$1="MSolo",IF(O54="","",O54),IF($B$1="Duet",IF(R54="","",R54),IF($B$1="Mixed",IF(U54="","",U54),IF(X54="","",X54))))),IF($B$1="Solo",IF(L554="","",L554),IF($B$1="MSolo",IF(L554="","",L554),IF($B$1="Duet",IF(O554="","",O554),IF($B$1="Mixed",IF(R554="","",R554),IF(U554="","",U554))))))</f>
        <v>#N/A</v>
      </c>
      <c r="B55" s="3" t="e">
        <f>IF('Coach Card'!$T$5="",IF($B$1="Solo",IF(M54="","",M54),IF($B$1="MSolo",IF(P54="","",P54),IF($B$1="Duet",IF(S54="","",S54),IF($B$1="Mixed",IF(V54="","",V54),IF(Y54="","",Y54))))),IF($B$1="Solo",IF(M554="","",M554),IF($B$1="MSolo",IF(M554="","",M554),IF($B$1="Duet",IF(P554="","",P554),IF($B$1="Mixed",IF(S554="","",S554),IF(V554="","",V554))))))</f>
        <v>#N/A</v>
      </c>
      <c r="C55" s="3" t="e">
        <f>IF('Coach Card'!$T$5="",IF($B$1="Solo",IF(N54="","",N54),IF($B$1="MSolo",IF(Q54="","",Q54),IF($B$1="Duet",IF(T54="","",T54),IF($B$1="Mixed",IF(W54="","",W54),IF(Z54="","",Z54))))),IF($B$1="Solo",IF(N554="","",N554),IF($B$1="MSolo",IF(N554="","",N554),IF($B$1="Duet",IF(Q554="","",Q554),IF($B$1="Mixed",IF(T554="","",T554),IF(W554="","",W554))))))</f>
        <v>#N/A</v>
      </c>
      <c r="D55" s="3" t="e">
        <f>IF('Coach Card'!$T$5="",IF($D$1="Team",IF(AG54="","",AG54),""),IF($D$1="Team",IF(AD554="","",AD554),""))</f>
        <v>#N/A</v>
      </c>
      <c r="E55" s="3" t="e">
        <f>IF('Coach Card'!$T$5="",IF($D$1="Team",IF(AH54="","",AH54),""),IF($D$1="Team",IF(AE554="","",AE554),""))</f>
        <v>#N/A</v>
      </c>
      <c r="F55" t="s">
        <v>1985</v>
      </c>
      <c r="G55">
        <v>0.45</v>
      </c>
      <c r="L55" s="1" t="s">
        <v>1767</v>
      </c>
      <c r="M55" t="s">
        <v>1660</v>
      </c>
      <c r="N55" s="3">
        <v>0.2</v>
      </c>
      <c r="O55" s="1" t="s">
        <v>1767</v>
      </c>
      <c r="P55" t="s">
        <v>1660</v>
      </c>
      <c r="Q55" s="3">
        <v>0.2</v>
      </c>
      <c r="R55" s="1" t="s">
        <v>1767</v>
      </c>
      <c r="S55" t="s">
        <v>1660</v>
      </c>
      <c r="T55" s="3">
        <v>0.2</v>
      </c>
      <c r="U55" s="1" t="s">
        <v>1767</v>
      </c>
      <c r="V55" t="s">
        <v>1660</v>
      </c>
      <c r="W55" s="3">
        <v>0.2</v>
      </c>
      <c r="X55" s="1" t="s">
        <v>1767</v>
      </c>
      <c r="Y55" t="s">
        <v>1660</v>
      </c>
      <c r="Z55" s="3">
        <v>0.2</v>
      </c>
      <c r="AK55" t="s">
        <v>1658</v>
      </c>
      <c r="AL55" t="s">
        <v>1658</v>
      </c>
      <c r="AM55">
        <v>1</v>
      </c>
    </row>
    <row r="56" spans="1:39" x14ac:dyDescent="0.35">
      <c r="A56" s="6" t="e">
        <f>IF('Coach Card'!$T$5="",IF($B$1="Solo",IF(L55="","",L55),IF($B$1="MSolo",IF(O55="","",O55),IF($B$1="Duet",IF(R55="","",R55),IF($B$1="Mixed",IF(U55="","",U55),IF(X55="","",X55))))),IF($B$1="Solo",IF(L555="","",L555),IF($B$1="MSolo",IF(L555="","",L555),IF($B$1="Duet",IF(O555="","",O555),IF($B$1="Mixed",IF(R555="","",R555),IF(U555="","",U555))))))</f>
        <v>#N/A</v>
      </c>
      <c r="B56" s="3" t="e">
        <f>IF('Coach Card'!$T$5="",IF($B$1="Solo",IF(M55="","",M55),IF($B$1="MSolo",IF(P55="","",P55),IF($B$1="Duet",IF(S55="","",S55),IF($B$1="Mixed",IF(V55="","",V55),IF(Y55="","",Y55))))),IF($B$1="Solo",IF(M555="","",M555),IF($B$1="MSolo",IF(M555="","",M555),IF($B$1="Duet",IF(P555="","",P555),IF($B$1="Mixed",IF(S555="","",S555),IF(V555="","",V555))))))</f>
        <v>#N/A</v>
      </c>
      <c r="C56" s="3" t="e">
        <f>IF('Coach Card'!$T$5="",IF($B$1="Solo",IF(N55="","",N55),IF($B$1="MSolo",IF(Q55="","",Q55),IF($B$1="Duet",IF(T55="","",T55),IF($B$1="Mixed",IF(W55="","",W55),IF(Z55="","",Z55))))),IF($B$1="Solo",IF(N555="","",N555),IF($B$1="MSolo",IF(N555="","",N555),IF($B$1="Duet",IF(Q555="","",Q555),IF($B$1="Mixed",IF(T555="","",T555),IF(W555="","",W555))))))</f>
        <v>#N/A</v>
      </c>
      <c r="D56" s="3" t="e">
        <f>IF('Coach Card'!$T$5="",IF($D$1="Team",IF(AG55="","",AG55),""),IF($D$1="Team",IF(AD555="","",AD555),""))</f>
        <v>#N/A</v>
      </c>
      <c r="E56" s="3" t="e">
        <f>IF('Coach Card'!$T$5="",IF($D$1="Team",IF(AH55="","",AH55),""),IF($D$1="Team",IF(AE555="","",AE555),""))</f>
        <v>#N/A</v>
      </c>
      <c r="F56" t="s">
        <v>1986</v>
      </c>
      <c r="G56">
        <v>0.45</v>
      </c>
      <c r="L56" s="1" t="s">
        <v>1767</v>
      </c>
      <c r="M56" t="s">
        <v>1798</v>
      </c>
      <c r="N56" s="3">
        <v>0.25</v>
      </c>
      <c r="O56" s="1" t="s">
        <v>1767</v>
      </c>
      <c r="P56" t="s">
        <v>1798</v>
      </c>
      <c r="Q56" s="3">
        <v>0.25</v>
      </c>
      <c r="R56" s="1" t="s">
        <v>1767</v>
      </c>
      <c r="S56" t="s">
        <v>1798</v>
      </c>
      <c r="T56" s="3">
        <v>0.25</v>
      </c>
      <c r="U56" s="1" t="s">
        <v>1767</v>
      </c>
      <c r="V56" t="s">
        <v>1798</v>
      </c>
      <c r="W56" s="3">
        <v>0.25</v>
      </c>
      <c r="X56" s="1" t="s">
        <v>1767</v>
      </c>
      <c r="Y56" t="s">
        <v>1798</v>
      </c>
      <c r="Z56" s="3">
        <v>0.25</v>
      </c>
      <c r="AK56" t="s">
        <v>1659</v>
      </c>
      <c r="AL56" t="s">
        <v>1659</v>
      </c>
      <c r="AM56">
        <v>1</v>
      </c>
    </row>
    <row r="57" spans="1:39" x14ac:dyDescent="0.35">
      <c r="A57" s="6" t="e">
        <f>IF('Coach Card'!$T$5="",IF($B$1="Solo",IF(L56="","",L56),IF($B$1="MSolo",IF(O56="","",O56),IF($B$1="Duet",IF(R56="","",R56),IF($B$1="Mixed",IF(U56="","",U56),IF(X56="","",X56))))),IF($B$1="Solo",IF(L556="","",L556),IF($B$1="MSolo",IF(L556="","",L556),IF($B$1="Duet",IF(O556="","",O556),IF($B$1="Mixed",IF(R556="","",R556),IF(U556="","",U556))))))</f>
        <v>#N/A</v>
      </c>
      <c r="B57" s="3" t="e">
        <f>IF('Coach Card'!$T$5="",IF($B$1="Solo",IF(M56="","",M56),IF($B$1="MSolo",IF(P56="","",P56),IF($B$1="Duet",IF(S56="","",S56),IF($B$1="Mixed",IF(V56="","",V56),IF(Y56="","",Y56))))),IF($B$1="Solo",IF(M556="","",M556),IF($B$1="MSolo",IF(M556="","",M556),IF($B$1="Duet",IF(P556="","",P556),IF($B$1="Mixed",IF(S556="","",S556),IF(V556="","",V556))))))</f>
        <v>#N/A</v>
      </c>
      <c r="C57" s="3" t="e">
        <f>IF('Coach Card'!$T$5="",IF($B$1="Solo",IF(N56="","",N56),IF($B$1="MSolo",IF(Q56="","",Q56),IF($B$1="Duet",IF(T56="","",T56),IF($B$1="Mixed",IF(W56="","",W56),IF(Z56="","",Z56))))),IF($B$1="Solo",IF(N556="","",N556),IF($B$1="MSolo",IF(N556="","",N556),IF($B$1="Duet",IF(Q556="","",Q556),IF($B$1="Mixed",IF(T556="","",T556),IF(W556="","",W556))))))</f>
        <v>#N/A</v>
      </c>
      <c r="D57" s="3" t="e">
        <f>IF('Coach Card'!$T$5="",IF($D$1="Team",IF(AG56="","",AG56),""),IF($D$1="Team",IF(AD556="","",AD556),""))</f>
        <v>#N/A</v>
      </c>
      <c r="E57" s="3" t="e">
        <f>IF('Coach Card'!$T$5="",IF($D$1="Team",IF(AH56="","",AH56),""),IF($D$1="Team",IF(AE556="","",AE556),""))</f>
        <v>#N/A</v>
      </c>
      <c r="F57" t="s">
        <v>1987</v>
      </c>
      <c r="G57">
        <v>0.45</v>
      </c>
      <c r="L57" s="1" t="s">
        <v>1767</v>
      </c>
      <c r="M57" t="s">
        <v>1799</v>
      </c>
      <c r="N57" s="3">
        <v>0.25</v>
      </c>
      <c r="O57" s="1" t="s">
        <v>1767</v>
      </c>
      <c r="P57" t="s">
        <v>1799</v>
      </c>
      <c r="Q57" s="3">
        <v>0.25</v>
      </c>
      <c r="R57" s="1" t="s">
        <v>1767</v>
      </c>
      <c r="S57" t="s">
        <v>1799</v>
      </c>
      <c r="T57" s="3">
        <v>0.25</v>
      </c>
      <c r="U57" s="1" t="s">
        <v>1767</v>
      </c>
      <c r="V57" t="s">
        <v>1799</v>
      </c>
      <c r="W57" s="3">
        <v>0.25</v>
      </c>
      <c r="X57" s="1" t="s">
        <v>1767</v>
      </c>
      <c r="Y57" t="s">
        <v>1799</v>
      </c>
      <c r="Z57" s="3">
        <v>0.25</v>
      </c>
      <c r="AK57" t="s">
        <v>1660</v>
      </c>
      <c r="AL57" t="s">
        <v>1660</v>
      </c>
      <c r="AM57">
        <v>1</v>
      </c>
    </row>
    <row r="58" spans="1:39" x14ac:dyDescent="0.35">
      <c r="A58" s="6" t="e">
        <f>IF('Coach Card'!$T$5="",IF($B$1="Solo",IF(L57="","",L57),IF($B$1="MSolo",IF(O57="","",O57),IF($B$1="Duet",IF(R57="","",R57),IF($B$1="Mixed",IF(U57="","",U57),IF(X57="","",X57))))),IF($B$1="Solo",IF(L557="","",L557),IF($B$1="MSolo",IF(L557="","",L557),IF($B$1="Duet",IF(O557="","",O557),IF($B$1="Mixed",IF(R557="","",R557),IF(U557="","",U557))))))</f>
        <v>#N/A</v>
      </c>
      <c r="B58" s="3" t="e">
        <f>IF('Coach Card'!$T$5="",IF($B$1="Solo",IF(M57="","",M57),IF($B$1="MSolo",IF(P57="","",P57),IF($B$1="Duet",IF(S57="","",S57),IF($B$1="Mixed",IF(V57="","",V57),IF(Y57="","",Y57))))),IF($B$1="Solo",IF(M557="","",M557),IF($B$1="MSolo",IF(M557="","",M557),IF($B$1="Duet",IF(P557="","",P557),IF($B$1="Mixed",IF(S557="","",S557),IF(V557="","",V557))))))</f>
        <v>#N/A</v>
      </c>
      <c r="C58" s="3" t="e">
        <f>IF('Coach Card'!$T$5="",IF($B$1="Solo",IF(N57="","",N57),IF($B$1="MSolo",IF(Q57="","",Q57),IF($B$1="Duet",IF(T57="","",T57),IF($B$1="Mixed",IF(W57="","",W57),IF(Z57="","",Z57))))),IF($B$1="Solo",IF(N557="","",N557),IF($B$1="MSolo",IF(N557="","",N557),IF($B$1="Duet",IF(Q557="","",Q557),IF($B$1="Mixed",IF(T557="","",T557),IF(W557="","",W557))))))</f>
        <v>#N/A</v>
      </c>
      <c r="D58" s="3" t="e">
        <f>IF('Coach Card'!$T$5="",IF($D$1="Team",IF(AG57="","",AG57),""),IF($D$1="Team",IF(AD557="","",AD557),""))</f>
        <v>#N/A</v>
      </c>
      <c r="E58" s="3" t="e">
        <f>IF('Coach Card'!$T$5="",IF($D$1="Team",IF(AH57="","",AH57),""),IF($D$1="Team",IF(AE557="","",AE557),""))</f>
        <v>#N/A</v>
      </c>
      <c r="F58" t="s">
        <v>1988</v>
      </c>
      <c r="G58">
        <v>0.45</v>
      </c>
      <c r="L58" s="1" t="s">
        <v>1767</v>
      </c>
      <c r="M58" t="s">
        <v>56</v>
      </c>
      <c r="N58" s="3">
        <v>0.2</v>
      </c>
      <c r="O58" s="1" t="s">
        <v>1767</v>
      </c>
      <c r="P58" t="s">
        <v>56</v>
      </c>
      <c r="Q58" s="3">
        <v>0.2</v>
      </c>
      <c r="R58" s="1" t="s">
        <v>1767</v>
      </c>
      <c r="S58" t="s">
        <v>56</v>
      </c>
      <c r="T58" s="3">
        <v>0.2</v>
      </c>
      <c r="U58" s="1" t="s">
        <v>1767</v>
      </c>
      <c r="V58" t="s">
        <v>56</v>
      </c>
      <c r="W58" s="3">
        <v>0.2</v>
      </c>
      <c r="X58" s="1" t="s">
        <v>1767</v>
      </c>
      <c r="Y58" t="s">
        <v>56</v>
      </c>
      <c r="Z58" s="3">
        <v>0.2</v>
      </c>
      <c r="AK58" t="s">
        <v>1798</v>
      </c>
      <c r="AL58" t="s">
        <v>1798</v>
      </c>
      <c r="AM58">
        <v>1</v>
      </c>
    </row>
    <row r="59" spans="1:39" x14ac:dyDescent="0.35">
      <c r="A59" s="6" t="e">
        <f>IF('Coach Card'!$T$5="",IF($B$1="Solo",IF(L58="","",L58),IF($B$1="MSolo",IF(O58="","",O58),IF($B$1="Duet",IF(R58="","",R58),IF($B$1="Mixed",IF(U58="","",U58),IF(X58="","",X58))))),IF($B$1="Solo",IF(L558="","",L558),IF($B$1="MSolo",IF(L558="","",L558),IF($B$1="Duet",IF(O558="","",O558),IF($B$1="Mixed",IF(R558="","",R558),IF(U558="","",U558))))))</f>
        <v>#N/A</v>
      </c>
      <c r="B59" s="3" t="e">
        <f>IF('Coach Card'!$T$5="",IF($B$1="Solo",IF(M58="","",M58),IF($B$1="MSolo",IF(P58="","",P58),IF($B$1="Duet",IF(S58="","",S58),IF($B$1="Mixed",IF(V58="","",V58),IF(Y58="","",Y58))))),IF($B$1="Solo",IF(M558="","",M558),IF($B$1="MSolo",IF(M558="","",M558),IF($B$1="Duet",IF(P558="","",P558),IF($B$1="Mixed",IF(S558="","",S558),IF(V558="","",V558))))))</f>
        <v>#N/A</v>
      </c>
      <c r="C59" s="3" t="e">
        <f>IF('Coach Card'!$T$5="",IF($B$1="Solo",IF(N58="","",N58),IF($B$1="MSolo",IF(Q58="","",Q58),IF($B$1="Duet",IF(T58="","",T58),IF($B$1="Mixed",IF(W58="","",W58),IF(Z58="","",Z58))))),IF($B$1="Solo",IF(N558="","",N558),IF($B$1="MSolo",IF(N558="","",N558),IF($B$1="Duet",IF(Q558="","",Q558),IF($B$1="Mixed",IF(T558="","",T558),IF(W558="","",W558))))))</f>
        <v>#N/A</v>
      </c>
      <c r="D59" s="3" t="e">
        <f>IF('Coach Card'!$T$5="",IF($D$1="Team",IF(AG58="","",AG58),""),IF($D$1="Team",IF(AD558="","",AD558),""))</f>
        <v>#N/A</v>
      </c>
      <c r="E59" s="3" t="e">
        <f>IF('Coach Card'!$T$5="",IF($D$1="Team",IF(AH58="","",AH58),""),IF($D$1="Team",IF(AE558="","",AE558),""))</f>
        <v>#N/A</v>
      </c>
      <c r="F59" t="s">
        <v>1989</v>
      </c>
      <c r="G59">
        <v>0.55000000000000004</v>
      </c>
      <c r="L59" s="1" t="s">
        <v>1767</v>
      </c>
      <c r="M59" t="s">
        <v>1661</v>
      </c>
      <c r="N59" s="3">
        <v>0.35</v>
      </c>
      <c r="O59" s="1" t="s">
        <v>1767</v>
      </c>
      <c r="P59" t="s">
        <v>1661</v>
      </c>
      <c r="Q59" s="3">
        <v>0.35</v>
      </c>
      <c r="R59" s="1" t="s">
        <v>1767</v>
      </c>
      <c r="S59" t="s">
        <v>1661</v>
      </c>
      <c r="T59" s="3">
        <v>0.35</v>
      </c>
      <c r="U59" s="1" t="s">
        <v>1767</v>
      </c>
      <c r="V59" t="s">
        <v>1661</v>
      </c>
      <c r="W59" s="3">
        <v>0.35</v>
      </c>
      <c r="X59" s="1" t="s">
        <v>1767</v>
      </c>
      <c r="Y59" t="s">
        <v>1661</v>
      </c>
      <c r="Z59" s="3">
        <v>0.35</v>
      </c>
      <c r="AK59" t="s">
        <v>1799</v>
      </c>
      <c r="AL59" t="s">
        <v>1799</v>
      </c>
      <c r="AM59">
        <v>1</v>
      </c>
    </row>
    <row r="60" spans="1:39" x14ac:dyDescent="0.35">
      <c r="A60" s="6" t="e">
        <f>IF('Coach Card'!$T$5="",IF($B$1="Solo",IF(L59="","",L59),IF($B$1="MSolo",IF(O59="","",O59),IF($B$1="Duet",IF(R59="","",R59),IF($B$1="Mixed",IF(U59="","",U59),IF(X59="","",X59))))),IF($B$1="Solo",IF(L559="","",L559),IF($B$1="MSolo",IF(L559="","",L559),IF($B$1="Duet",IF(O559="","",O559),IF($B$1="Mixed",IF(R559="","",R559),IF(U559="","",U559))))))</f>
        <v>#N/A</v>
      </c>
      <c r="B60" s="3" t="e">
        <f>IF('Coach Card'!$T$5="",IF($B$1="Solo",IF(M59="","",M59),IF($B$1="MSolo",IF(P59="","",P59),IF($B$1="Duet",IF(S59="","",S59),IF($B$1="Mixed",IF(V59="","",V59),IF(Y59="","",Y59))))),IF($B$1="Solo",IF(M559="","",M559),IF($B$1="MSolo",IF(M559="","",M559),IF($B$1="Duet",IF(P559="","",P559),IF($B$1="Mixed",IF(S559="","",S559),IF(V559="","",V559))))))</f>
        <v>#N/A</v>
      </c>
      <c r="C60" s="3" t="e">
        <f>IF('Coach Card'!$T$5="",IF($B$1="Solo",IF(N59="","",N59),IF($B$1="MSolo",IF(Q59="","",Q59),IF($B$1="Duet",IF(T59="","",T59),IF($B$1="Mixed",IF(W59="","",W59),IF(Z59="","",Z59))))),IF($B$1="Solo",IF(N559="","",N559),IF($B$1="MSolo",IF(N559="","",N559),IF($B$1="Duet",IF(Q559="","",Q559),IF($B$1="Mixed",IF(T559="","",T559),IF(W559="","",W559))))))</f>
        <v>#N/A</v>
      </c>
      <c r="D60" s="3" t="e">
        <f>IF('Coach Card'!$T$5="",IF($D$1="Team",IF(AG59="","",AG59),""),IF($D$1="Team",IF(AD559="","",AD559),""))</f>
        <v>#N/A</v>
      </c>
      <c r="E60" s="3" t="e">
        <f>IF('Coach Card'!$T$5="",IF($D$1="Team",IF(AH59="","",AH59),""),IF($D$1="Team",IF(AE559="","",AE559),""))</f>
        <v>#N/A</v>
      </c>
      <c r="F60" t="s">
        <v>1990</v>
      </c>
      <c r="G60">
        <v>0.55000000000000004</v>
      </c>
      <c r="L60" s="1" t="s">
        <v>1767</v>
      </c>
      <c r="M60" t="s">
        <v>1662</v>
      </c>
      <c r="N60" s="3">
        <v>0.45</v>
      </c>
      <c r="O60" s="1" t="s">
        <v>1767</v>
      </c>
      <c r="P60" t="s">
        <v>1662</v>
      </c>
      <c r="Q60" s="3">
        <v>0.45</v>
      </c>
      <c r="R60" s="1" t="s">
        <v>1767</v>
      </c>
      <c r="S60" t="s">
        <v>1662</v>
      </c>
      <c r="T60" s="3">
        <v>0.45</v>
      </c>
      <c r="U60" s="1" t="s">
        <v>1767</v>
      </c>
      <c r="V60" t="s">
        <v>1662</v>
      </c>
      <c r="W60" s="3">
        <v>0.45</v>
      </c>
      <c r="X60" s="1" t="s">
        <v>1767</v>
      </c>
      <c r="Y60" t="s">
        <v>1662</v>
      </c>
      <c r="Z60" s="3">
        <v>0.45</v>
      </c>
      <c r="AK60" t="s">
        <v>56</v>
      </c>
      <c r="AL60" t="s">
        <v>56</v>
      </c>
      <c r="AM60">
        <v>1</v>
      </c>
    </row>
    <row r="61" spans="1:39" x14ac:dyDescent="0.35">
      <c r="A61" s="6" t="e">
        <f>IF('Coach Card'!$T$5="",IF($B$1="Solo",IF(L60="","",L60),IF($B$1="MSolo",IF(O60="","",O60),IF($B$1="Duet",IF(R60="","",R60),IF($B$1="Mixed",IF(U60="","",U60),IF(X60="","",X60))))),IF($B$1="Solo",IF(L560="","",L560),IF($B$1="MSolo",IF(L560="","",L560),IF($B$1="Duet",IF(O560="","",O560),IF($B$1="Mixed",IF(R560="","",R560),IF(U560="","",U560))))))</f>
        <v>#N/A</v>
      </c>
      <c r="B61" s="3" t="e">
        <f>IF('Coach Card'!$T$5="",IF($B$1="Solo",IF(M60="","",M60),IF($B$1="MSolo",IF(P60="","",P60),IF($B$1="Duet",IF(S60="","",S60),IF($B$1="Mixed",IF(V60="","",V60),IF(Y60="","",Y60))))),IF($B$1="Solo",IF(M560="","",M560),IF($B$1="MSolo",IF(M560="","",M560),IF($B$1="Duet",IF(P560="","",P560),IF($B$1="Mixed",IF(S560="","",S560),IF(V560="","",V560))))))</f>
        <v>#N/A</v>
      </c>
      <c r="C61" s="3" t="e">
        <f>IF('Coach Card'!$T$5="",IF($B$1="Solo",IF(N60="","",N60),IF($B$1="MSolo",IF(Q60="","",Q60),IF($B$1="Duet",IF(T60="","",T60),IF($B$1="Mixed",IF(W60="","",W60),IF(Z60="","",Z60))))),IF($B$1="Solo",IF(N560="","",N560),IF($B$1="MSolo",IF(N560="","",N560),IF($B$1="Duet",IF(Q560="","",Q560),IF($B$1="Mixed",IF(T560="","",T560),IF(W560="","",W560))))))</f>
        <v>#N/A</v>
      </c>
      <c r="D61" s="3" t="e">
        <f>IF('Coach Card'!$T$5="",IF($D$1="Team",IF(AG60="","",AG60),""),IF($D$1="Team",IF(AD560="","",AD560),""))</f>
        <v>#N/A</v>
      </c>
      <c r="E61" s="3" t="e">
        <f>IF('Coach Card'!$T$5="",IF($D$1="Team",IF(AH60="","",AH60),""),IF($D$1="Team",IF(AE560="","",AE560),""))</f>
        <v>#N/A</v>
      </c>
      <c r="F61" t="s">
        <v>1991</v>
      </c>
      <c r="G61">
        <v>0.55000000000000004</v>
      </c>
      <c r="L61" s="1" t="s">
        <v>1767</v>
      </c>
      <c r="M61" t="s">
        <v>1663</v>
      </c>
      <c r="N61" s="3">
        <v>0.5</v>
      </c>
      <c r="O61" s="1" t="s">
        <v>1767</v>
      </c>
      <c r="P61" t="s">
        <v>1663</v>
      </c>
      <c r="Q61" s="3">
        <v>0.5</v>
      </c>
      <c r="R61" s="1" t="s">
        <v>1767</v>
      </c>
      <c r="S61" t="s">
        <v>1663</v>
      </c>
      <c r="T61" s="3">
        <v>0.5</v>
      </c>
      <c r="U61" s="1" t="s">
        <v>1767</v>
      </c>
      <c r="V61" t="s">
        <v>1663</v>
      </c>
      <c r="W61" s="3">
        <v>0.5</v>
      </c>
      <c r="X61" s="1" t="s">
        <v>1767</v>
      </c>
      <c r="Y61" t="s">
        <v>1663</v>
      </c>
      <c r="Z61" s="3">
        <v>0.5</v>
      </c>
      <c r="AK61" t="s">
        <v>1661</v>
      </c>
      <c r="AL61" t="s">
        <v>1661</v>
      </c>
      <c r="AM61">
        <v>1</v>
      </c>
    </row>
    <row r="62" spans="1:39" x14ac:dyDescent="0.35">
      <c r="A62" s="6" t="e">
        <f>IF('Coach Card'!$T$5="",IF($B$1="Solo",IF(L61="","",L61),IF($B$1="MSolo",IF(O61="","",O61),IF($B$1="Duet",IF(R61="","",R61),IF($B$1="Mixed",IF(U61="","",U61),IF(X61="","",X61))))),IF($B$1="Solo",IF(L561="","",L561),IF($B$1="MSolo",IF(L561="","",L561),IF($B$1="Duet",IF(O561="","",O561),IF($B$1="Mixed",IF(R561="","",R561),IF(U561="","",U561))))))</f>
        <v>#N/A</v>
      </c>
      <c r="B62" s="3" t="e">
        <f>IF('Coach Card'!$T$5="",IF($B$1="Solo",IF(M61="","",M61),IF($B$1="MSolo",IF(P61="","",P61),IF($B$1="Duet",IF(S61="","",S61),IF($B$1="Mixed",IF(V61="","",V61),IF(Y61="","",Y61))))),IF($B$1="Solo",IF(M561="","",M561),IF($B$1="MSolo",IF(M561="","",M561),IF($B$1="Duet",IF(P561="","",P561),IF($B$1="Mixed",IF(S561="","",S561),IF(V561="","",V561))))))</f>
        <v>#N/A</v>
      </c>
      <c r="C62" s="3" t="e">
        <f>IF('Coach Card'!$T$5="",IF($B$1="Solo",IF(N61="","",N61),IF($B$1="MSolo",IF(Q61="","",Q61),IF($B$1="Duet",IF(T61="","",T61),IF($B$1="Mixed",IF(W61="","",W61),IF(Z61="","",Z61))))),IF($B$1="Solo",IF(N561="","",N561),IF($B$1="MSolo",IF(N561="","",N561),IF($B$1="Duet",IF(Q561="","",Q561),IF($B$1="Mixed",IF(T561="","",T561),IF(W561="","",W561))))))</f>
        <v>#N/A</v>
      </c>
      <c r="D62" s="3" t="e">
        <f>IF('Coach Card'!$T$5="",IF($D$1="Team",IF(AG61="","",AG61),""),IF($D$1="Team",IF(AD561="","",AD561),""))</f>
        <v>#N/A</v>
      </c>
      <c r="E62" s="3" t="e">
        <f>IF('Coach Card'!$T$5="",IF($D$1="Team",IF(AH61="","",AH61),""),IF($D$1="Team",IF(AE561="","",AE561),""))</f>
        <v>#N/A</v>
      </c>
      <c r="F62" t="s">
        <v>1992</v>
      </c>
      <c r="G62">
        <v>0.75</v>
      </c>
      <c r="L62" s="1" t="s">
        <v>1767</v>
      </c>
      <c r="M62" t="s">
        <v>1664</v>
      </c>
      <c r="N62" s="3">
        <v>0.55000000000000004</v>
      </c>
      <c r="O62" s="1" t="s">
        <v>1767</v>
      </c>
      <c r="P62" t="s">
        <v>1664</v>
      </c>
      <c r="Q62" s="3">
        <v>0.55000000000000004</v>
      </c>
      <c r="R62" s="1" t="s">
        <v>1767</v>
      </c>
      <c r="S62" t="s">
        <v>1664</v>
      </c>
      <c r="T62" s="3">
        <v>0.55000000000000004</v>
      </c>
      <c r="U62" s="1" t="s">
        <v>1767</v>
      </c>
      <c r="V62" t="s">
        <v>1664</v>
      </c>
      <c r="W62" s="3">
        <v>0.55000000000000004</v>
      </c>
      <c r="X62" s="1" t="s">
        <v>1767</v>
      </c>
      <c r="Y62" t="s">
        <v>1664</v>
      </c>
      <c r="Z62" s="3">
        <v>0.55000000000000004</v>
      </c>
      <c r="AK62" t="s">
        <v>1662</v>
      </c>
      <c r="AL62" t="s">
        <v>1662</v>
      </c>
      <c r="AM62">
        <v>1</v>
      </c>
    </row>
    <row r="63" spans="1:39" x14ac:dyDescent="0.35">
      <c r="A63" s="6" t="e">
        <f>IF('Coach Card'!$T$5="",IF($B$1="Solo",IF(L62="","",L62),IF($B$1="MSolo",IF(O62="","",O62),IF($B$1="Duet",IF(R62="","",R62),IF($B$1="Mixed",IF(U62="","",U62),IF(X62="","",X62))))),IF($B$1="Solo",IF(L562="","",L562),IF($B$1="MSolo",IF(L562="","",L562),IF($B$1="Duet",IF(O562="","",O562),IF($B$1="Mixed",IF(R562="","",R562),IF(U562="","",U562))))))</f>
        <v>#N/A</v>
      </c>
      <c r="B63" s="3" t="e">
        <f>IF('Coach Card'!$T$5="",IF($B$1="Solo",IF(M62="","",M62),IF($B$1="MSolo",IF(P62="","",P62),IF($B$1="Duet",IF(S62="","",S62),IF($B$1="Mixed",IF(V62="","",V62),IF(Y62="","",Y62))))),IF($B$1="Solo",IF(M562="","",M562),IF($B$1="MSolo",IF(M562="","",M562),IF($B$1="Duet",IF(P562="","",P562),IF($B$1="Mixed",IF(S562="","",S562),IF(V562="","",V562))))))</f>
        <v>#N/A</v>
      </c>
      <c r="C63" s="3" t="e">
        <f>IF('Coach Card'!$T$5="",IF($B$1="Solo",IF(N62="","",N62),IF($B$1="MSolo",IF(Q62="","",Q62),IF($B$1="Duet",IF(T62="","",T62),IF($B$1="Mixed",IF(W62="","",W62),IF(Z62="","",Z62))))),IF($B$1="Solo",IF(N562="","",N562),IF($B$1="MSolo",IF(N562="","",N562),IF($B$1="Duet",IF(Q562="","",Q562),IF($B$1="Mixed",IF(T562="","",T562),IF(W562="","",W562))))))</f>
        <v>#N/A</v>
      </c>
      <c r="D63" s="3" t="e">
        <f>IF('Coach Card'!$T$5="",IF($D$1="Team",IF(AG62="","",AG62),""),IF($D$1="Team",IF(AD562="","",AD562),""))</f>
        <v>#N/A</v>
      </c>
      <c r="E63" s="3" t="e">
        <f>IF('Coach Card'!$T$5="",IF($D$1="Team",IF(AH62="","",AH62),""),IF($D$1="Team",IF(AE562="","",AE562),""))</f>
        <v>#N/A</v>
      </c>
      <c r="F63" t="s">
        <v>1993</v>
      </c>
      <c r="G63">
        <v>0.85</v>
      </c>
      <c r="L63" s="1" t="s">
        <v>1767</v>
      </c>
      <c r="M63" t="s">
        <v>1665</v>
      </c>
      <c r="N63" s="3">
        <v>0.55000000000000004</v>
      </c>
      <c r="O63" s="1" t="s">
        <v>1767</v>
      </c>
      <c r="P63" t="s">
        <v>1665</v>
      </c>
      <c r="Q63" s="3">
        <v>0.55000000000000004</v>
      </c>
      <c r="R63" s="1" t="s">
        <v>1767</v>
      </c>
      <c r="S63" t="s">
        <v>1665</v>
      </c>
      <c r="T63" s="3">
        <v>0.55000000000000004</v>
      </c>
      <c r="U63" s="1" t="s">
        <v>1767</v>
      </c>
      <c r="V63" t="s">
        <v>1665</v>
      </c>
      <c r="W63" s="3">
        <v>0.55000000000000004</v>
      </c>
      <c r="X63" s="1" t="s">
        <v>1767</v>
      </c>
      <c r="Y63" t="s">
        <v>1665</v>
      </c>
      <c r="Z63" s="3">
        <v>0.55000000000000004</v>
      </c>
      <c r="AK63" t="s">
        <v>1663</v>
      </c>
      <c r="AL63" t="s">
        <v>1663</v>
      </c>
      <c r="AM63">
        <v>1</v>
      </c>
    </row>
    <row r="64" spans="1:39" x14ac:dyDescent="0.35">
      <c r="A64" s="6" t="e">
        <f>IF('Coach Card'!$T$5="",IF($B$1="Solo",IF(L63="","",L63),IF($B$1="MSolo",IF(O63="","",O63),IF($B$1="Duet",IF(R63="","",R63),IF($B$1="Mixed",IF(U63="","",U63),IF(X63="","",X63))))),IF($B$1="Solo",IF(L563="","",L563),IF($B$1="MSolo",IF(L563="","",L563),IF($B$1="Duet",IF(O563="","",O563),IF($B$1="Mixed",IF(R563="","",R563),IF(U563="","",U563))))))</f>
        <v>#N/A</v>
      </c>
      <c r="B64" s="3" t="e">
        <f>IF('Coach Card'!$T$5="",IF($B$1="Solo",IF(M63="","",M63),IF($B$1="MSolo",IF(P63="","",P63),IF($B$1="Duet",IF(S63="","",S63),IF($B$1="Mixed",IF(V63="","",V63),IF(Y63="","",Y63))))),IF($B$1="Solo",IF(M563="","",M563),IF($B$1="MSolo",IF(M563="","",M563),IF($B$1="Duet",IF(P563="","",P563),IF($B$1="Mixed",IF(S563="","",S563),IF(V563="","",V563))))))</f>
        <v>#N/A</v>
      </c>
      <c r="C64" s="3" t="e">
        <f>IF('Coach Card'!$T$5="",IF($B$1="Solo",IF(N63="","",N63),IF($B$1="MSolo",IF(Q63="","",Q63),IF($B$1="Duet",IF(T63="","",T63),IF($B$1="Mixed",IF(W63="","",W63),IF(Z63="","",Z63))))),IF($B$1="Solo",IF(N563="","",N563),IF($B$1="MSolo",IF(N563="","",N563),IF($B$1="Duet",IF(Q563="","",Q563),IF($B$1="Mixed",IF(T563="","",T563),IF(W563="","",W563))))))</f>
        <v>#N/A</v>
      </c>
      <c r="D64" s="3" t="e">
        <f>IF('Coach Card'!$T$5="",IF($D$1="Team",IF(AG63="","",AG63),""),IF($D$1="Team",IF(AD563="","",AD563),""))</f>
        <v>#N/A</v>
      </c>
      <c r="E64" s="3" t="e">
        <f>IF('Coach Card'!$T$5="",IF($D$1="Team",IF(AH63="","",AH63),""),IF($D$1="Team",IF(AE563="","",AE563),""))</f>
        <v>#N/A</v>
      </c>
      <c r="F64" t="s">
        <v>1994</v>
      </c>
      <c r="G64">
        <v>1</v>
      </c>
      <c r="L64" s="1" t="s">
        <v>1767</v>
      </c>
      <c r="M64" t="s">
        <v>1666</v>
      </c>
      <c r="N64" s="3">
        <v>0.55000000000000004</v>
      </c>
      <c r="O64" s="1" t="s">
        <v>1767</v>
      </c>
      <c r="P64" t="s">
        <v>1666</v>
      </c>
      <c r="Q64" s="3">
        <v>0.55000000000000004</v>
      </c>
      <c r="R64" s="1" t="s">
        <v>1767</v>
      </c>
      <c r="S64" t="s">
        <v>1666</v>
      </c>
      <c r="T64" s="3">
        <v>0.55000000000000004</v>
      </c>
      <c r="U64" s="1" t="s">
        <v>1767</v>
      </c>
      <c r="V64" t="s">
        <v>1666</v>
      </c>
      <c r="W64" s="3">
        <v>0.55000000000000004</v>
      </c>
      <c r="X64" s="1" t="s">
        <v>1767</v>
      </c>
      <c r="Y64" t="s">
        <v>1666</v>
      </c>
      <c r="Z64" s="3">
        <v>0.55000000000000004</v>
      </c>
      <c r="AK64" t="s">
        <v>1664</v>
      </c>
      <c r="AL64" t="s">
        <v>1664</v>
      </c>
      <c r="AM64">
        <v>1</v>
      </c>
    </row>
    <row r="65" spans="1:39" x14ac:dyDescent="0.35">
      <c r="A65" s="6" t="e">
        <f>IF('Coach Card'!$T$5="",IF($B$1="Solo",IF(L64="","",L64),IF($B$1="MSolo",IF(O64="","",O64),IF($B$1="Duet",IF(R64="","",R64),IF($B$1="Mixed",IF(U64="","",U64),IF(X64="","",X64))))),IF($B$1="Solo",IF(L564="","",L564),IF($B$1="MSolo",IF(L564="","",L564),IF($B$1="Duet",IF(O564="","",O564),IF($B$1="Mixed",IF(R564="","",R564),IF(U564="","",U564))))))</f>
        <v>#N/A</v>
      </c>
      <c r="B65" s="3" t="e">
        <f>IF('Coach Card'!$T$5="",IF($B$1="Solo",IF(M64="","",M64),IF($B$1="MSolo",IF(P64="","",P64),IF($B$1="Duet",IF(S64="","",S64),IF($B$1="Mixed",IF(V64="","",V64),IF(Y64="","",Y64))))),IF($B$1="Solo",IF(M564="","",M564),IF($B$1="MSolo",IF(M564="","",M564),IF($B$1="Duet",IF(P564="","",P564),IF($B$1="Mixed",IF(S564="","",S564),IF(V564="","",V564))))))</f>
        <v>#N/A</v>
      </c>
      <c r="C65" s="3" t="e">
        <f>IF('Coach Card'!$T$5="",IF($B$1="Solo",IF(N64="","",N64),IF($B$1="MSolo",IF(Q64="","",Q64),IF($B$1="Duet",IF(T64="","",T64),IF($B$1="Mixed",IF(W64="","",W64),IF(Z64="","",Z64))))),IF($B$1="Solo",IF(N564="","",N564),IF($B$1="MSolo",IF(N564="","",N564),IF($B$1="Duet",IF(Q564="","",Q564),IF($B$1="Mixed",IF(T564="","",T564),IF(W564="","",W564))))))</f>
        <v>#N/A</v>
      </c>
      <c r="D65" s="3" t="e">
        <f>IF('Coach Card'!$T$5="",IF($D$1="Team",IF(AG64="","",AG64),""),IF($D$1="Team",IF(AD564="","",AD564),""))</f>
        <v>#N/A</v>
      </c>
      <c r="E65" s="3" t="e">
        <f>IF('Coach Card'!$T$5="",IF($D$1="Team",IF(AH64="","",AH64),""),IF($D$1="Team",IF(AE564="","",AE564),""))</f>
        <v>#N/A</v>
      </c>
      <c r="F65" t="s">
        <v>1995</v>
      </c>
      <c r="G65">
        <v>1</v>
      </c>
      <c r="L65" s="1" t="s">
        <v>1767</v>
      </c>
      <c r="M65" t="s">
        <v>57</v>
      </c>
      <c r="N65" s="3">
        <v>0.4</v>
      </c>
      <c r="O65" s="1" t="s">
        <v>1767</v>
      </c>
      <c r="P65" t="s">
        <v>57</v>
      </c>
      <c r="Q65" s="3">
        <v>0.4</v>
      </c>
      <c r="R65" s="1" t="s">
        <v>1767</v>
      </c>
      <c r="S65" t="s">
        <v>57</v>
      </c>
      <c r="T65" s="3">
        <v>0.4</v>
      </c>
      <c r="U65" s="1" t="s">
        <v>1767</v>
      </c>
      <c r="V65" t="s">
        <v>57</v>
      </c>
      <c r="W65" s="3">
        <v>0.4</v>
      </c>
      <c r="X65" s="1" t="s">
        <v>1767</v>
      </c>
      <c r="Y65" t="s">
        <v>57</v>
      </c>
      <c r="Z65" s="3">
        <v>0.4</v>
      </c>
      <c r="AK65" t="s">
        <v>1665</v>
      </c>
      <c r="AL65" t="s">
        <v>1665</v>
      </c>
      <c r="AM65">
        <v>1</v>
      </c>
    </row>
    <row r="66" spans="1:39" x14ac:dyDescent="0.35">
      <c r="A66" s="6" t="e">
        <f>IF('Coach Card'!$T$5="",IF($B$1="Solo",IF(L65="","",L65),IF($B$1="MSolo",IF(O65="","",O65),IF($B$1="Duet",IF(R65="","",R65),IF($B$1="Mixed",IF(U65="","",U65),IF(X65="","",X65))))),IF($B$1="Solo",IF(L565="","",L565),IF($B$1="MSolo",IF(L565="","",L565),IF($B$1="Duet",IF(O565="","",O565),IF($B$1="Mixed",IF(R565="","",R565),IF(U565="","",U565))))))</f>
        <v>#N/A</v>
      </c>
      <c r="B66" s="3" t="e">
        <f>IF('Coach Card'!$T$5="",IF($B$1="Solo",IF(M65="","",M65),IF($B$1="MSolo",IF(P65="","",P65),IF($B$1="Duet",IF(S65="","",S65),IF($B$1="Mixed",IF(V65="","",V65),IF(Y65="","",Y65))))),IF($B$1="Solo",IF(M565="","",M565),IF($B$1="MSolo",IF(M565="","",M565),IF($B$1="Duet",IF(P565="","",P565),IF($B$1="Mixed",IF(S565="","",S565),IF(V565="","",V565))))))</f>
        <v>#N/A</v>
      </c>
      <c r="C66" s="3" t="e">
        <f>IF('Coach Card'!$T$5="",IF($B$1="Solo",IF(N65="","",N65),IF($B$1="MSolo",IF(Q65="","",Q65),IF($B$1="Duet",IF(T65="","",T65),IF($B$1="Mixed",IF(W65="","",W65),IF(Z65="","",Z65))))),IF($B$1="Solo",IF(N565="","",N565),IF($B$1="MSolo",IF(N565="","",N565),IF($B$1="Duet",IF(Q565="","",Q565),IF($B$1="Mixed",IF(T565="","",T565),IF(W565="","",W565))))))</f>
        <v>#N/A</v>
      </c>
      <c r="D66" s="3" t="e">
        <f>IF('Coach Card'!$T$5="",IF($D$1="Team",IF(AG65="","",AG65),""),IF($D$1="Team",IF(AD565="","",AD565),""))</f>
        <v>#N/A</v>
      </c>
      <c r="E66" s="3" t="e">
        <f>IF('Coach Card'!$T$5="",IF($D$1="Team",IF(AH65="","",AH65),""),IF($D$1="Team",IF(AE565="","",AE565),""))</f>
        <v>#N/A</v>
      </c>
      <c r="F66" t="s">
        <v>1996</v>
      </c>
      <c r="G66">
        <v>0.05</v>
      </c>
      <c r="L66" s="1" t="s">
        <v>1767</v>
      </c>
      <c r="M66" t="s">
        <v>1667</v>
      </c>
      <c r="N66" s="3">
        <v>0.75</v>
      </c>
      <c r="O66" s="1" t="s">
        <v>1767</v>
      </c>
      <c r="P66" t="s">
        <v>1667</v>
      </c>
      <c r="Q66" s="3">
        <v>0.75</v>
      </c>
      <c r="R66" s="1" t="s">
        <v>1767</v>
      </c>
      <c r="S66" t="s">
        <v>1667</v>
      </c>
      <c r="T66" s="3">
        <v>0.75</v>
      </c>
      <c r="U66" s="1" t="s">
        <v>1767</v>
      </c>
      <c r="V66" t="s">
        <v>1667</v>
      </c>
      <c r="W66" s="3">
        <v>0.75</v>
      </c>
      <c r="X66" s="1" t="s">
        <v>1767</v>
      </c>
      <c r="Y66" t="s">
        <v>1667</v>
      </c>
      <c r="Z66" s="3">
        <v>0.75</v>
      </c>
      <c r="AK66" t="s">
        <v>1666</v>
      </c>
      <c r="AL66" t="s">
        <v>1666</v>
      </c>
      <c r="AM66">
        <v>1</v>
      </c>
    </row>
    <row r="67" spans="1:39" x14ac:dyDescent="0.35">
      <c r="A67" s="6" t="e">
        <f>IF('Coach Card'!$T$5="",IF($B$1="Solo",IF(L66="","",L66),IF($B$1="MSolo",IF(O66="","",O66),IF($B$1="Duet",IF(R66="","",R66),IF($B$1="Mixed",IF(U66="","",U66),IF(X66="","",X66))))),IF($B$1="Solo",IF(L566="","",L566),IF($B$1="MSolo",IF(L566="","",L566),IF($B$1="Duet",IF(O566="","",O566),IF($B$1="Mixed",IF(R566="","",R566),IF(U566="","",U566))))))</f>
        <v>#N/A</v>
      </c>
      <c r="B67" s="3" t="e">
        <f>IF('Coach Card'!$T$5="",IF($B$1="Solo",IF(M66="","",M66),IF($B$1="MSolo",IF(P66="","",P66),IF($B$1="Duet",IF(S66="","",S66),IF($B$1="Mixed",IF(V66="","",V66),IF(Y66="","",Y66))))),IF($B$1="Solo",IF(M566="","",M566),IF($B$1="MSolo",IF(M566="","",M566),IF($B$1="Duet",IF(P566="","",P566),IF($B$1="Mixed",IF(S566="","",S566),IF(V566="","",V566))))))</f>
        <v>#N/A</v>
      </c>
      <c r="C67" s="3" t="e">
        <f>IF('Coach Card'!$T$5="",IF($B$1="Solo",IF(N66="","",N66),IF($B$1="MSolo",IF(Q66="","",Q66),IF($B$1="Duet",IF(T66="","",T66),IF($B$1="Mixed",IF(W66="","",W66),IF(Z66="","",Z66))))),IF($B$1="Solo",IF(N566="","",N566),IF($B$1="MSolo",IF(N566="","",N566),IF($B$1="Duet",IF(Q566="","",Q566),IF($B$1="Mixed",IF(T566="","",T566),IF(W566="","",W566))))))</f>
        <v>#N/A</v>
      </c>
      <c r="D67" s="3" t="e">
        <f>IF('Coach Card'!$T$5="",IF($D$1="Team",IF(AG66="","",AG66),""),IF($D$1="Team",IF(AD566="","",AD566),""))</f>
        <v>#N/A</v>
      </c>
      <c r="E67" s="3" t="e">
        <f>IF('Coach Card'!$T$5="",IF($D$1="Team",IF(AH66="","",AH66),""),IF($D$1="Team",IF(AE566="","",AE566),""))</f>
        <v>#N/A</v>
      </c>
      <c r="F67" t="s">
        <v>1997</v>
      </c>
      <c r="G67">
        <v>0.1</v>
      </c>
      <c r="L67" s="1" t="s">
        <v>1767</v>
      </c>
      <c r="M67" t="s">
        <v>1668</v>
      </c>
      <c r="N67" s="3">
        <v>0.95</v>
      </c>
      <c r="O67" s="1" t="s">
        <v>1767</v>
      </c>
      <c r="P67" t="s">
        <v>1668</v>
      </c>
      <c r="Q67" s="3">
        <v>0.95</v>
      </c>
      <c r="R67" s="1" t="s">
        <v>1767</v>
      </c>
      <c r="S67" t="s">
        <v>1668</v>
      </c>
      <c r="T67" s="3">
        <v>0.95</v>
      </c>
      <c r="U67" s="1" t="s">
        <v>1767</v>
      </c>
      <c r="V67" t="s">
        <v>1668</v>
      </c>
      <c r="W67" s="3">
        <v>0.95</v>
      </c>
      <c r="X67" s="1" t="s">
        <v>1767</v>
      </c>
      <c r="Y67" t="s">
        <v>1668</v>
      </c>
      <c r="Z67" s="3">
        <v>0.95</v>
      </c>
      <c r="AK67" t="s">
        <v>57</v>
      </c>
      <c r="AL67" t="s">
        <v>57</v>
      </c>
      <c r="AM67">
        <v>1</v>
      </c>
    </row>
    <row r="68" spans="1:39" x14ac:dyDescent="0.35">
      <c r="A68" s="6" t="e">
        <f>IF('Coach Card'!$T$5="",IF($B$1="Solo",IF(L67="","",L67),IF($B$1="MSolo",IF(O67="","",O67),IF($B$1="Duet",IF(R67="","",R67),IF($B$1="Mixed",IF(U67="","",U67),IF(X67="","",X67))))),IF($B$1="Solo",IF(L567="","",L567),IF($B$1="MSolo",IF(L567="","",L567),IF($B$1="Duet",IF(O567="","",O567),IF($B$1="Mixed",IF(R567="","",R567),IF(U567="","",U567))))))</f>
        <v>#N/A</v>
      </c>
      <c r="B68" s="3" t="e">
        <f>IF('Coach Card'!$T$5="",IF($B$1="Solo",IF(M67="","",M67),IF($B$1="MSolo",IF(P67="","",P67),IF($B$1="Duet",IF(S67="","",S67),IF($B$1="Mixed",IF(V67="","",V67),IF(Y67="","",Y67))))),IF($B$1="Solo",IF(M567="","",M567),IF($B$1="MSolo",IF(M567="","",M567),IF($B$1="Duet",IF(P567="","",P567),IF($B$1="Mixed",IF(S567="","",S567),IF(V567="","",V567))))))</f>
        <v>#N/A</v>
      </c>
      <c r="C68" s="3" t="e">
        <f>IF('Coach Card'!$T$5="",IF($B$1="Solo",IF(N67="","",N67),IF($B$1="MSolo",IF(Q67="","",Q67),IF($B$1="Duet",IF(T67="","",T67),IF($B$1="Mixed",IF(W67="","",W67),IF(Z67="","",Z67))))),IF($B$1="Solo",IF(N567="","",N567),IF($B$1="MSolo",IF(N567="","",N567),IF($B$1="Duet",IF(Q567="","",Q567),IF($B$1="Mixed",IF(T567="","",T567),IF(W567="","",W567))))))</f>
        <v>#N/A</v>
      </c>
      <c r="D68" s="3" t="e">
        <f>IF('Coach Card'!$T$5="",IF($D$1="Team",IF(AG67="","",AG67),""),IF($D$1="Team",IF(AD567="","",AD567),""))</f>
        <v>#N/A</v>
      </c>
      <c r="E68" s="3" t="e">
        <f>IF('Coach Card'!$T$5="",IF($D$1="Team",IF(AH67="","",AH67),""),IF($D$1="Team",IF(AE567="","",AE567),""))</f>
        <v>#N/A</v>
      </c>
      <c r="F68" t="s">
        <v>1998</v>
      </c>
      <c r="G68">
        <v>0.1</v>
      </c>
      <c r="L68" s="1" t="s">
        <v>1767</v>
      </c>
      <c r="M68" t="s">
        <v>1669</v>
      </c>
      <c r="N68" s="3">
        <v>1.05</v>
      </c>
      <c r="O68" s="1" t="s">
        <v>1767</v>
      </c>
      <c r="P68" t="s">
        <v>1669</v>
      </c>
      <c r="Q68" s="3">
        <v>1.05</v>
      </c>
      <c r="R68" s="1" t="s">
        <v>1767</v>
      </c>
      <c r="S68" t="s">
        <v>1669</v>
      </c>
      <c r="T68" s="3">
        <v>1.05</v>
      </c>
      <c r="U68" s="1" t="s">
        <v>1767</v>
      </c>
      <c r="V68" t="s">
        <v>1669</v>
      </c>
      <c r="W68" s="3">
        <v>1.05</v>
      </c>
      <c r="X68" s="1" t="s">
        <v>1767</v>
      </c>
      <c r="Y68" t="s">
        <v>1669</v>
      </c>
      <c r="Z68" s="3">
        <v>1.05</v>
      </c>
      <c r="AK68" t="s">
        <v>1667</v>
      </c>
      <c r="AL68" t="s">
        <v>1667</v>
      </c>
      <c r="AM68">
        <v>1</v>
      </c>
    </row>
    <row r="69" spans="1:39" x14ac:dyDescent="0.35">
      <c r="A69" s="6" t="e">
        <f>IF('Coach Card'!$T$5="",IF($B$1="Solo",IF(L68="","",L68),IF($B$1="MSolo",IF(O68="","",O68),IF($B$1="Duet",IF(R68="","",R68),IF($B$1="Mixed",IF(U68="","",U68),IF(X68="","",X68))))),IF($B$1="Solo",IF(L568="","",L568),IF($B$1="MSolo",IF(L568="","",L568),IF($B$1="Duet",IF(O568="","",O568),IF($B$1="Mixed",IF(R568="","",R568),IF(U568="","",U568))))))</f>
        <v>#N/A</v>
      </c>
      <c r="B69" s="3" t="e">
        <f>IF('Coach Card'!$T$5="",IF($B$1="Solo",IF(M68="","",M68),IF($B$1="MSolo",IF(P68="","",P68),IF($B$1="Duet",IF(S68="","",S68),IF($B$1="Mixed",IF(V68="","",V68),IF(Y68="","",Y68))))),IF($B$1="Solo",IF(M568="","",M568),IF($B$1="MSolo",IF(M568="","",M568),IF($B$1="Duet",IF(P568="","",P568),IF($B$1="Mixed",IF(S568="","",S568),IF(V568="","",V568))))))</f>
        <v>#N/A</v>
      </c>
      <c r="C69" s="3" t="e">
        <f>IF('Coach Card'!$T$5="",IF($B$1="Solo",IF(N68="","",N68),IF($B$1="MSolo",IF(Q68="","",Q68),IF($B$1="Duet",IF(T68="","",T68),IF($B$1="Mixed",IF(W68="","",W68),IF(Z68="","",Z68))))),IF($B$1="Solo",IF(N568="","",N568),IF($B$1="MSolo",IF(N568="","",N568),IF($B$1="Duet",IF(Q568="","",Q568),IF($B$1="Mixed",IF(T568="","",T568),IF(W568="","",W568))))))</f>
        <v>#N/A</v>
      </c>
      <c r="D69" s="3" t="e">
        <f>IF('Coach Card'!$T$5="",IF($D$1="Team",IF(AG68="","",AG68),""),IF($D$1="Team",IF(AD568="","",AD568),""))</f>
        <v>#N/A</v>
      </c>
      <c r="E69" s="3" t="e">
        <f>IF('Coach Card'!$T$5="",IF($D$1="Team",IF(AH68="","",AH68),""),IF($D$1="Team",IF(AE568="","",AE568),""))</f>
        <v>#N/A</v>
      </c>
      <c r="F69" t="s">
        <v>1999</v>
      </c>
      <c r="G69">
        <v>0.15</v>
      </c>
      <c r="L69" s="1" t="s">
        <v>1767</v>
      </c>
      <c r="M69" t="s">
        <v>1670</v>
      </c>
      <c r="N69" s="3">
        <v>1.1499999999999999</v>
      </c>
      <c r="O69" s="1" t="s">
        <v>1767</v>
      </c>
      <c r="P69" t="s">
        <v>1670</v>
      </c>
      <c r="Q69" s="3">
        <v>1.1499999999999999</v>
      </c>
      <c r="R69" s="1" t="s">
        <v>1767</v>
      </c>
      <c r="S69" t="s">
        <v>1670</v>
      </c>
      <c r="T69" s="3">
        <v>1.1499999999999999</v>
      </c>
      <c r="U69" s="1" t="s">
        <v>1767</v>
      </c>
      <c r="V69" t="s">
        <v>1670</v>
      </c>
      <c r="W69" s="3">
        <v>1.1499999999999999</v>
      </c>
      <c r="X69" s="1" t="s">
        <v>1767</v>
      </c>
      <c r="Y69" t="s">
        <v>1670</v>
      </c>
      <c r="Z69" s="3">
        <v>1.1499999999999999</v>
      </c>
      <c r="AK69" t="s">
        <v>1668</v>
      </c>
      <c r="AL69" t="s">
        <v>1668</v>
      </c>
      <c r="AM69">
        <v>1</v>
      </c>
    </row>
    <row r="70" spans="1:39" x14ac:dyDescent="0.35">
      <c r="A70" s="6" t="e">
        <f>IF('Coach Card'!$T$5="",IF($B$1="Solo",IF(L69="","",L69),IF($B$1="MSolo",IF(O69="","",O69),IF($B$1="Duet",IF(R69="","",R69),IF($B$1="Mixed",IF(U69="","",U69),IF(X69="","",X69))))),IF($B$1="Solo",IF(L569="","",L569),IF($B$1="MSolo",IF(L569="","",L569),IF($B$1="Duet",IF(O569="","",O569),IF($B$1="Mixed",IF(R569="","",R569),IF(U569="","",U569))))))</f>
        <v>#N/A</v>
      </c>
      <c r="B70" s="3" t="e">
        <f>IF('Coach Card'!$T$5="",IF($B$1="Solo",IF(M69="","",M69),IF($B$1="MSolo",IF(P69="","",P69),IF($B$1="Duet",IF(S69="","",S69),IF($B$1="Mixed",IF(V69="","",V69),IF(Y69="","",Y69))))),IF($B$1="Solo",IF(M569="","",M569),IF($B$1="MSolo",IF(M569="","",M569),IF($B$1="Duet",IF(P569="","",P569),IF($B$1="Mixed",IF(S569="","",S569),IF(V569="","",V569))))))</f>
        <v>#N/A</v>
      </c>
      <c r="C70" s="3" t="e">
        <f>IF('Coach Card'!$T$5="",IF($B$1="Solo",IF(N69="","",N69),IF($B$1="MSolo",IF(Q69="","",Q69),IF($B$1="Duet",IF(T69="","",T69),IF($B$1="Mixed",IF(W69="","",W69),IF(Z69="","",Z69))))),IF($B$1="Solo",IF(N569="","",N569),IF($B$1="MSolo",IF(N569="","",N569),IF($B$1="Duet",IF(Q569="","",Q569),IF($B$1="Mixed",IF(T569="","",T569),IF(W569="","",W569))))))</f>
        <v>#N/A</v>
      </c>
      <c r="D70" s="3" t="e">
        <f>IF('Coach Card'!$T$5="",IF($D$1="Team",IF(AG69="","",AG69),""),IF($D$1="Team",IF(AD569="","",AD569),""))</f>
        <v>#N/A</v>
      </c>
      <c r="E70" s="3" t="e">
        <f>IF('Coach Card'!$T$5="",IF($D$1="Team",IF(AH69="","",AH69),""),IF($D$1="Team",IF(AE569="","",AE569),""))</f>
        <v>#N/A</v>
      </c>
      <c r="F70" t="s">
        <v>2000</v>
      </c>
      <c r="G70">
        <v>0.15</v>
      </c>
      <c r="L70" s="1" t="s">
        <v>1767</v>
      </c>
      <c r="M70" t="s">
        <v>58</v>
      </c>
      <c r="N70" s="3">
        <v>0.6</v>
      </c>
      <c r="O70" s="1" t="s">
        <v>1767</v>
      </c>
      <c r="P70" t="s">
        <v>58</v>
      </c>
      <c r="Q70" s="3">
        <v>0.6</v>
      </c>
      <c r="R70" s="1" t="s">
        <v>1767</v>
      </c>
      <c r="S70" t="s">
        <v>58</v>
      </c>
      <c r="T70" s="3">
        <v>0.6</v>
      </c>
      <c r="U70" s="1" t="s">
        <v>1767</v>
      </c>
      <c r="V70" t="s">
        <v>58</v>
      </c>
      <c r="W70" s="3">
        <v>0.6</v>
      </c>
      <c r="X70" s="1" t="s">
        <v>1767</v>
      </c>
      <c r="Y70" t="s">
        <v>58</v>
      </c>
      <c r="Z70" s="3">
        <v>0.6</v>
      </c>
      <c r="AK70" t="s">
        <v>1669</v>
      </c>
      <c r="AL70" t="s">
        <v>1669</v>
      </c>
      <c r="AM70">
        <v>1</v>
      </c>
    </row>
    <row r="71" spans="1:39" x14ac:dyDescent="0.35">
      <c r="A71" s="6" t="e">
        <f>IF('Coach Card'!$T$5="",IF($B$1="Solo",IF(L70="","",L70),IF($B$1="MSolo",IF(O70="","",O70),IF($B$1="Duet",IF(R70="","",R70),IF($B$1="Mixed",IF(U70="","",U70),IF(X70="","",X70))))),IF($B$1="Solo",IF(L570="","",L570),IF($B$1="MSolo",IF(L570="","",L570),IF($B$1="Duet",IF(O570="","",O570),IF($B$1="Mixed",IF(R570="","",R570),IF(U570="","",U570))))))</f>
        <v>#N/A</v>
      </c>
      <c r="B71" s="3" t="e">
        <f>IF('Coach Card'!$T$5="",IF($B$1="Solo",IF(M70="","",M70),IF($B$1="MSolo",IF(P70="","",P70),IF($B$1="Duet",IF(S70="","",S70),IF($B$1="Mixed",IF(V70="","",V70),IF(Y70="","",Y70))))),IF($B$1="Solo",IF(M570="","",M570),IF($B$1="MSolo",IF(M570="","",M570),IF($B$1="Duet",IF(P570="","",P570),IF($B$1="Mixed",IF(S570="","",S570),IF(V570="","",V570))))))</f>
        <v>#N/A</v>
      </c>
      <c r="C71" s="3" t="e">
        <f>IF('Coach Card'!$T$5="",IF($B$1="Solo",IF(N70="","",N70),IF($B$1="MSolo",IF(Q70="","",Q70),IF($B$1="Duet",IF(T70="","",T70),IF($B$1="Mixed",IF(W70="","",W70),IF(Z70="","",Z70))))),IF($B$1="Solo",IF(N570="","",N570),IF($B$1="MSolo",IF(N570="","",N570),IF($B$1="Duet",IF(Q570="","",Q570),IF($B$1="Mixed",IF(T570="","",T570),IF(W570="","",W570))))))</f>
        <v>#N/A</v>
      </c>
      <c r="D71" s="3" t="e">
        <f>IF('Coach Card'!$T$5="",IF($D$1="Team",IF(AG70="","",AG70),""),IF($D$1="Team",IF(AD570="","",AD570),""))</f>
        <v>#N/A</v>
      </c>
      <c r="E71" s="3" t="e">
        <f>IF('Coach Card'!$T$5="",IF($D$1="Team",IF(AH70="","",AH70),""),IF($D$1="Team",IF(AE570="","",AE570),""))</f>
        <v>#N/A</v>
      </c>
      <c r="F71" t="s">
        <v>2001</v>
      </c>
      <c r="G71">
        <v>0.15</v>
      </c>
      <c r="L71" s="1" t="s">
        <v>1767</v>
      </c>
      <c r="M71" t="s">
        <v>1671</v>
      </c>
      <c r="N71" s="3">
        <v>1.1499999999999999</v>
      </c>
      <c r="O71" s="1" t="s">
        <v>1767</v>
      </c>
      <c r="P71" t="s">
        <v>1671</v>
      </c>
      <c r="Q71" s="3">
        <v>1.1499999999999999</v>
      </c>
      <c r="R71" s="1" t="s">
        <v>1767</v>
      </c>
      <c r="S71" t="s">
        <v>1671</v>
      </c>
      <c r="T71" s="3">
        <v>1.1499999999999999</v>
      </c>
      <c r="U71" s="1" t="s">
        <v>1767</v>
      </c>
      <c r="V71" t="s">
        <v>1671</v>
      </c>
      <c r="W71" s="3">
        <v>1.1499999999999999</v>
      </c>
      <c r="X71" s="1" t="s">
        <v>1767</v>
      </c>
      <c r="Y71" t="s">
        <v>1671</v>
      </c>
      <c r="Z71" s="3">
        <v>1.1499999999999999</v>
      </c>
      <c r="AK71" t="s">
        <v>1670</v>
      </c>
      <c r="AL71" t="s">
        <v>1670</v>
      </c>
      <c r="AM71">
        <v>1</v>
      </c>
    </row>
    <row r="72" spans="1:39" x14ac:dyDescent="0.35">
      <c r="A72" s="6" t="e">
        <f>IF('Coach Card'!$T$5="",IF($B$1="Solo",IF(L71="","",L71),IF($B$1="MSolo",IF(O71="","",O71),IF($B$1="Duet",IF(R71="","",R71),IF($B$1="Mixed",IF(U71="","",U71),IF(X71="","",X71))))),IF($B$1="Solo",IF(L571="","",L571),IF($B$1="MSolo",IF(L571="","",L571),IF($B$1="Duet",IF(O571="","",O571),IF($B$1="Mixed",IF(R571="","",R571),IF(U571="","",U571))))))</f>
        <v>#N/A</v>
      </c>
      <c r="B72" s="3" t="e">
        <f>IF('Coach Card'!$T$5="",IF($B$1="Solo",IF(M71="","",M71),IF($B$1="MSolo",IF(P71="","",P71),IF($B$1="Duet",IF(S71="","",S71),IF($B$1="Mixed",IF(V71="","",V71),IF(Y71="","",Y71))))),IF($B$1="Solo",IF(M571="","",M571),IF($B$1="MSolo",IF(M571="","",M571),IF($B$1="Duet",IF(P571="","",P571),IF($B$1="Mixed",IF(S571="","",S571),IF(V571="","",V571))))))</f>
        <v>#N/A</v>
      </c>
      <c r="C72" s="3" t="e">
        <f>IF('Coach Card'!$T$5="",IF($B$1="Solo",IF(N71="","",N71),IF($B$1="MSolo",IF(Q71="","",Q71),IF($B$1="Duet",IF(T71="","",T71),IF($B$1="Mixed",IF(W71="","",W71),IF(Z71="","",Z71))))),IF($B$1="Solo",IF(N571="","",N571),IF($B$1="MSolo",IF(N571="","",N571),IF($B$1="Duet",IF(Q571="","",Q571),IF($B$1="Mixed",IF(T571="","",T571),IF(W571="","",W571))))))</f>
        <v>#N/A</v>
      </c>
      <c r="D72" s="3" t="e">
        <f>IF('Coach Card'!$T$5="",IF($D$1="Team",IF(AG71="","",AG71),""),IF($D$1="Team",IF(AD571="","",AD571),""))</f>
        <v>#N/A</v>
      </c>
      <c r="E72" s="3" t="e">
        <f>IF('Coach Card'!$T$5="",IF($D$1="Team",IF(AH71="","",AH71),""),IF($D$1="Team",IF(AE571="","",AE571),""))</f>
        <v>#N/A</v>
      </c>
      <c r="F72" t="s">
        <v>2002</v>
      </c>
      <c r="G72">
        <v>0.2</v>
      </c>
      <c r="L72" s="1" t="s">
        <v>1767</v>
      </c>
      <c r="M72" t="s">
        <v>1672</v>
      </c>
      <c r="N72" s="3">
        <v>1.45</v>
      </c>
      <c r="O72" s="1" t="s">
        <v>1767</v>
      </c>
      <c r="P72" t="s">
        <v>1672</v>
      </c>
      <c r="Q72" s="3">
        <v>1.45</v>
      </c>
      <c r="R72" s="1" t="s">
        <v>1767</v>
      </c>
      <c r="S72" t="s">
        <v>1672</v>
      </c>
      <c r="T72" s="3">
        <v>1.45</v>
      </c>
      <c r="U72" s="1" t="s">
        <v>1767</v>
      </c>
      <c r="V72" t="s">
        <v>1672</v>
      </c>
      <c r="W72" s="3">
        <v>1.45</v>
      </c>
      <c r="X72" s="1" t="s">
        <v>1767</v>
      </c>
      <c r="Y72" t="s">
        <v>1672</v>
      </c>
      <c r="Z72" s="3">
        <v>1.45</v>
      </c>
      <c r="AK72" t="s">
        <v>58</v>
      </c>
      <c r="AL72" t="s">
        <v>58</v>
      </c>
      <c r="AM72">
        <v>1</v>
      </c>
    </row>
    <row r="73" spans="1:39" x14ac:dyDescent="0.35">
      <c r="A73" s="6" t="e">
        <f>IF('Coach Card'!$T$5="",IF($B$1="Solo",IF(L72="","",L72),IF($B$1="MSolo",IF(O72="","",O72),IF($B$1="Duet",IF(R72="","",R72),IF($B$1="Mixed",IF(U72="","",U72),IF(X72="","",X72))))),IF($B$1="Solo",IF(L572="","",L572),IF($B$1="MSolo",IF(L572="","",L572),IF($B$1="Duet",IF(O572="","",O572),IF($B$1="Mixed",IF(R572="","",R572),IF(U572="","",U572))))))</f>
        <v>#N/A</v>
      </c>
      <c r="B73" s="3" t="e">
        <f>IF('Coach Card'!$T$5="",IF($B$1="Solo",IF(M72="","",M72),IF($B$1="MSolo",IF(P72="","",P72),IF($B$1="Duet",IF(S72="","",S72),IF($B$1="Mixed",IF(V72="","",V72),IF(Y72="","",Y72))))),IF($B$1="Solo",IF(M572="","",M572),IF($B$1="MSolo",IF(M572="","",M572),IF($B$1="Duet",IF(P572="","",P572),IF($B$1="Mixed",IF(S572="","",S572),IF(V572="","",V572))))))</f>
        <v>#N/A</v>
      </c>
      <c r="C73" s="3" t="e">
        <f>IF('Coach Card'!$T$5="",IF($B$1="Solo",IF(N72="","",N72),IF($B$1="MSolo",IF(Q72="","",Q72),IF($B$1="Duet",IF(T72="","",T72),IF($B$1="Mixed",IF(W72="","",W72),IF(Z72="","",Z72))))),IF($B$1="Solo",IF(N572="","",N572),IF($B$1="MSolo",IF(N572="","",N572),IF($B$1="Duet",IF(Q572="","",Q572),IF($B$1="Mixed",IF(T572="","",T572),IF(W572="","",W572))))))</f>
        <v>#N/A</v>
      </c>
      <c r="D73" s="3" t="e">
        <f>IF('Coach Card'!$T$5="",IF($D$1="Team",IF(AG72="","",AG72),""),IF($D$1="Team",IF(AD572="","",AD572),""))</f>
        <v>#N/A</v>
      </c>
      <c r="E73" s="3" t="e">
        <f>IF('Coach Card'!$T$5="",IF($D$1="Team",IF(AH72="","",AH72),""),IF($D$1="Team",IF(AE572="","",AE572),""))</f>
        <v>#N/A</v>
      </c>
      <c r="F73" t="s">
        <v>2003</v>
      </c>
      <c r="G73">
        <v>0.25</v>
      </c>
      <c r="L73" s="1" t="s">
        <v>1767</v>
      </c>
      <c r="M73" t="s">
        <v>1673</v>
      </c>
      <c r="N73" s="3">
        <v>1.75</v>
      </c>
      <c r="O73" s="1" t="s">
        <v>1767</v>
      </c>
      <c r="P73" t="s">
        <v>1673</v>
      </c>
      <c r="Q73" s="3">
        <v>1.75</v>
      </c>
      <c r="R73" s="1" t="s">
        <v>1767</v>
      </c>
      <c r="S73" t="s">
        <v>1673</v>
      </c>
      <c r="T73" s="3">
        <v>1.75</v>
      </c>
      <c r="U73" s="1" t="s">
        <v>1767</v>
      </c>
      <c r="V73" t="s">
        <v>1673</v>
      </c>
      <c r="W73" s="3">
        <v>1.75</v>
      </c>
      <c r="X73" s="1" t="s">
        <v>1767</v>
      </c>
      <c r="Y73" t="s">
        <v>1673</v>
      </c>
      <c r="Z73" s="3">
        <v>1.75</v>
      </c>
      <c r="AK73" t="s">
        <v>1671</v>
      </c>
      <c r="AL73" t="s">
        <v>1671</v>
      </c>
      <c r="AM73">
        <v>1</v>
      </c>
    </row>
    <row r="74" spans="1:39" x14ac:dyDescent="0.35">
      <c r="A74" s="6" t="e">
        <f>IF('Coach Card'!$T$5="",IF($B$1="Solo",IF(L73="","",L73),IF($B$1="MSolo",IF(O73="","",O73),IF($B$1="Duet",IF(R73="","",R73),IF($B$1="Mixed",IF(U73="","",U73),IF(X73="","",X73))))),IF($B$1="Solo",IF(L573="","",L573),IF($B$1="MSolo",IF(L573="","",L573),IF($B$1="Duet",IF(O573="","",O573),IF($B$1="Mixed",IF(R573="","",R573),IF(U573="","",U573))))))</f>
        <v>#N/A</v>
      </c>
      <c r="B74" s="3" t="e">
        <f>IF('Coach Card'!$T$5="",IF($B$1="Solo",IF(M73="","",M73),IF($B$1="MSolo",IF(P73="","",P73),IF($B$1="Duet",IF(S73="","",S73),IF($B$1="Mixed",IF(V73="","",V73),IF(Y73="","",Y73))))),IF($B$1="Solo",IF(M573="","",M573),IF($B$1="MSolo",IF(M573="","",M573),IF($B$1="Duet",IF(P573="","",P573),IF($B$1="Mixed",IF(S573="","",S573),IF(V573="","",V573))))))</f>
        <v>#N/A</v>
      </c>
      <c r="C74" s="3" t="e">
        <f>IF('Coach Card'!$T$5="",IF($B$1="Solo",IF(N73="","",N73),IF($B$1="MSolo",IF(Q73="","",Q73),IF($B$1="Duet",IF(T73="","",T73),IF($B$1="Mixed",IF(W73="","",W73),IF(Z73="","",Z73))))),IF($B$1="Solo",IF(N573="","",N573),IF($B$1="MSolo",IF(N573="","",N573),IF($B$1="Duet",IF(Q573="","",Q573),IF($B$1="Mixed",IF(T573="","",T573),IF(W573="","",W573))))))</f>
        <v>#N/A</v>
      </c>
      <c r="D74" s="3" t="e">
        <f>IF('Coach Card'!$T$5="",IF($D$1="Team",IF(AG73="","",AG73),""),IF($D$1="Team",IF(AD573="","",AD573),""))</f>
        <v>#N/A</v>
      </c>
      <c r="E74" s="3" t="e">
        <f>IF('Coach Card'!$T$5="",IF($D$1="Team",IF(AH73="","",AH73),""),IF($D$1="Team",IF(AE573="","",AE573),""))</f>
        <v>#N/A</v>
      </c>
      <c r="F74" t="s">
        <v>2004</v>
      </c>
      <c r="G74">
        <v>0.5</v>
      </c>
      <c r="L74" s="1" t="s">
        <v>1767</v>
      </c>
      <c r="M74" t="s">
        <v>59</v>
      </c>
      <c r="N74" s="3">
        <v>0.8</v>
      </c>
      <c r="O74" s="1" t="s">
        <v>1767</v>
      </c>
      <c r="P74" t="s">
        <v>59</v>
      </c>
      <c r="Q74" s="3">
        <v>0.8</v>
      </c>
      <c r="R74" s="1" t="s">
        <v>1767</v>
      </c>
      <c r="S74" t="s">
        <v>59</v>
      </c>
      <c r="T74" s="3">
        <v>0.8</v>
      </c>
      <c r="U74" s="1" t="s">
        <v>1767</v>
      </c>
      <c r="V74" t="s">
        <v>59</v>
      </c>
      <c r="W74" s="3">
        <v>0.8</v>
      </c>
      <c r="X74" s="1" t="s">
        <v>1767</v>
      </c>
      <c r="Y74" t="s">
        <v>59</v>
      </c>
      <c r="Z74" s="3">
        <v>0.8</v>
      </c>
      <c r="AK74" t="s">
        <v>1672</v>
      </c>
      <c r="AL74" t="s">
        <v>1672</v>
      </c>
      <c r="AM74">
        <v>1</v>
      </c>
    </row>
    <row r="75" spans="1:39" x14ac:dyDescent="0.35">
      <c r="A75" s="6" t="e">
        <f>IF('Coach Card'!$T$5="",IF($B$1="Solo",IF(L74="","",L74),IF($B$1="MSolo",IF(O74="","",O74),IF($B$1="Duet",IF(R74="","",R74),IF($B$1="Mixed",IF(U74="","",U74),IF(X74="","",X74))))),IF($B$1="Solo",IF(L574="","",L574),IF($B$1="MSolo",IF(L574="","",L574),IF($B$1="Duet",IF(O574="","",O574),IF($B$1="Mixed",IF(R574="","",R574),IF(U574="","",U574))))))</f>
        <v>#N/A</v>
      </c>
      <c r="B75" s="3" t="e">
        <f>IF('Coach Card'!$T$5="",IF($B$1="Solo",IF(M74="","",M74),IF($B$1="MSolo",IF(P74="","",P74),IF($B$1="Duet",IF(S74="","",S74),IF($B$1="Mixed",IF(V74="","",V74),IF(Y74="","",Y74))))),IF($B$1="Solo",IF(M574="","",M574),IF($B$1="MSolo",IF(M574="","",M574),IF($B$1="Duet",IF(P574="","",P574),IF($B$1="Mixed",IF(S574="","",S574),IF(V574="","",V574))))))</f>
        <v>#N/A</v>
      </c>
      <c r="C75" s="3" t="e">
        <f>IF('Coach Card'!$T$5="",IF($B$1="Solo",IF(N74="","",N74),IF($B$1="MSolo",IF(Q74="","",Q74),IF($B$1="Duet",IF(T74="","",T74),IF($B$1="Mixed",IF(W74="","",W74),IF(Z74="","",Z74))))),IF($B$1="Solo",IF(N574="","",N574),IF($B$1="MSolo",IF(N574="","",N574),IF($B$1="Duet",IF(Q574="","",Q574),IF($B$1="Mixed",IF(T574="","",T574),IF(W574="","",W574))))))</f>
        <v>#N/A</v>
      </c>
      <c r="D75" s="3" t="e">
        <f>IF('Coach Card'!$T$5="",IF($D$1="Team",IF(AG74="","",AG74),""),IF($D$1="Team",IF(AD574="","",AD574),""))</f>
        <v>#N/A</v>
      </c>
      <c r="E75" s="3" t="e">
        <f>IF('Coach Card'!$T$5="",IF($D$1="Team",IF(AH74="","",AH74),""),IF($D$1="Team",IF(AE574="","",AE574),""))</f>
        <v>#N/A</v>
      </c>
      <c r="F75" t="s">
        <v>2005</v>
      </c>
      <c r="G75">
        <v>0.625</v>
      </c>
      <c r="L75" s="1" t="s">
        <v>1767</v>
      </c>
      <c r="M75" t="s">
        <v>1674</v>
      </c>
      <c r="N75" s="3">
        <v>1.55</v>
      </c>
      <c r="O75" s="1" t="s">
        <v>1767</v>
      </c>
      <c r="P75" t="s">
        <v>1674</v>
      </c>
      <c r="Q75" s="3">
        <v>1.55</v>
      </c>
      <c r="R75" s="1" t="s">
        <v>1767</v>
      </c>
      <c r="S75" t="s">
        <v>1674</v>
      </c>
      <c r="T75" s="3">
        <v>1.55</v>
      </c>
      <c r="U75" s="1" t="s">
        <v>1767</v>
      </c>
      <c r="V75" t="s">
        <v>1674</v>
      </c>
      <c r="W75" s="3">
        <v>1.55</v>
      </c>
      <c r="X75" s="1" t="s">
        <v>1767</v>
      </c>
      <c r="Y75" t="s">
        <v>1674</v>
      </c>
      <c r="Z75" s="3">
        <v>1.55</v>
      </c>
      <c r="AK75" t="s">
        <v>1673</v>
      </c>
      <c r="AL75" t="s">
        <v>1673</v>
      </c>
      <c r="AM75">
        <v>1</v>
      </c>
    </row>
    <row r="76" spans="1:39" x14ac:dyDescent="0.35">
      <c r="A76" s="6" t="e">
        <f>IF('Coach Card'!$T$5="",IF($B$1="Solo",IF(L75="","",L75),IF($B$1="MSolo",IF(O75="","",O75),IF($B$1="Duet",IF(R75="","",R75),IF($B$1="Mixed",IF(U75="","",U75),IF(X75="","",X75))))),IF($B$1="Solo",IF(L575="","",L575),IF($B$1="MSolo",IF(L575="","",L575),IF($B$1="Duet",IF(O575="","",O575),IF($B$1="Mixed",IF(R575="","",R575),IF(U575="","",U575))))))</f>
        <v>#N/A</v>
      </c>
      <c r="B76" s="3" t="e">
        <f>IF('Coach Card'!$T$5="",IF($B$1="Solo",IF(M75="","",M75),IF($B$1="MSolo",IF(P75="","",P75),IF($B$1="Duet",IF(S75="","",S75),IF($B$1="Mixed",IF(V75="","",V75),IF(Y75="","",Y75))))),IF($B$1="Solo",IF(M575="","",M575),IF($B$1="MSolo",IF(M575="","",M575),IF($B$1="Duet",IF(P575="","",P575),IF($B$1="Mixed",IF(S575="","",S575),IF(V575="","",V575))))))</f>
        <v>#N/A</v>
      </c>
      <c r="C76" s="3" t="e">
        <f>IF('Coach Card'!$T$5="",IF($B$1="Solo",IF(N75="","",N75),IF($B$1="MSolo",IF(Q75="","",Q75),IF($B$1="Duet",IF(T75="","",T75),IF($B$1="Mixed",IF(W75="","",W75),IF(Z75="","",Z75))))),IF($B$1="Solo",IF(N575="","",N575),IF($B$1="MSolo",IF(N575="","",N575),IF($B$1="Duet",IF(Q575="","",Q575),IF($B$1="Mixed",IF(T575="","",T575),IF(W575="","",W575))))))</f>
        <v>#N/A</v>
      </c>
      <c r="D76" s="3" t="e">
        <f>IF('Coach Card'!$T$5="",IF($D$1="Team",IF(AG75="","",AG75),""),IF($D$1="Team",IF(AD575="","",AD575),""))</f>
        <v>#N/A</v>
      </c>
      <c r="E76" s="3" t="e">
        <f>IF('Coach Card'!$T$5="",IF($D$1="Team",IF(AH75="","",AH75),""),IF($D$1="Team",IF(AE575="","",AE575),""))</f>
        <v>#N/A</v>
      </c>
      <c r="F76" t="s">
        <v>2006</v>
      </c>
      <c r="G76">
        <v>0.625</v>
      </c>
      <c r="L76" s="1" t="s">
        <v>1767</v>
      </c>
      <c r="M76" t="s">
        <v>1675</v>
      </c>
      <c r="N76" s="3">
        <v>1.95</v>
      </c>
      <c r="O76" s="1" t="s">
        <v>1767</v>
      </c>
      <c r="P76" t="s">
        <v>1675</v>
      </c>
      <c r="Q76" s="3">
        <v>1.95</v>
      </c>
      <c r="R76" s="1" t="s">
        <v>1767</v>
      </c>
      <c r="S76" t="s">
        <v>1675</v>
      </c>
      <c r="T76" s="3">
        <v>1.95</v>
      </c>
      <c r="U76" s="1" t="s">
        <v>1767</v>
      </c>
      <c r="V76" t="s">
        <v>1675</v>
      </c>
      <c r="W76" s="3">
        <v>1.95</v>
      </c>
      <c r="X76" s="1" t="s">
        <v>1767</v>
      </c>
      <c r="Y76" t="s">
        <v>1675</v>
      </c>
      <c r="Z76" s="3">
        <v>1.95</v>
      </c>
      <c r="AK76" t="s">
        <v>59</v>
      </c>
      <c r="AL76" t="s">
        <v>59</v>
      </c>
      <c r="AM76">
        <v>1</v>
      </c>
    </row>
    <row r="77" spans="1:39" x14ac:dyDescent="0.35">
      <c r="A77" s="6" t="e">
        <f>IF('Coach Card'!$T$5="",IF($B$1="Solo",IF(L76="","",L76),IF($B$1="MSolo",IF(O76="","",O76),IF($B$1="Duet",IF(R76="","",R76),IF($B$1="Mixed",IF(U76="","",U76),IF(X76="","",X76))))),IF($B$1="Solo",IF(L576="","",L576),IF($B$1="MSolo",IF(L576="","",L576),IF($B$1="Duet",IF(O576="","",O576),IF($B$1="Mixed",IF(R576="","",R576),IF(U576="","",U576))))))</f>
        <v>#N/A</v>
      </c>
      <c r="B77" s="3" t="e">
        <f>IF('Coach Card'!$T$5="",IF($B$1="Solo",IF(M76="","",M76),IF($B$1="MSolo",IF(P76="","",P76),IF($B$1="Duet",IF(S76="","",S76),IF($B$1="Mixed",IF(V76="","",V76),IF(Y76="","",Y76))))),IF($B$1="Solo",IF(M576="","",M576),IF($B$1="MSolo",IF(M576="","",M576),IF($B$1="Duet",IF(P576="","",P576),IF($B$1="Mixed",IF(S576="","",S576),IF(V576="","",V576))))))</f>
        <v>#N/A</v>
      </c>
      <c r="C77" s="3" t="e">
        <f>IF('Coach Card'!$T$5="",IF($B$1="Solo",IF(N76="","",N76),IF($B$1="MSolo",IF(Q76="","",Q76),IF($B$1="Duet",IF(T76="","",T76),IF($B$1="Mixed",IF(W76="","",W76),IF(Z76="","",Z76))))),IF($B$1="Solo",IF(N576="","",N576),IF($B$1="MSolo",IF(N576="","",N576),IF($B$1="Duet",IF(Q576="","",Q576),IF($B$1="Mixed",IF(T576="","",T576),IF(W576="","",W576))))))</f>
        <v>#N/A</v>
      </c>
      <c r="D77" s="3" t="e">
        <f>IF('Coach Card'!$T$5="",IF($D$1="Team",IF(AG76="","",AG76),""),IF($D$1="Team",IF(AD576="","",AD576),""))</f>
        <v>#N/A</v>
      </c>
      <c r="E77" s="3" t="e">
        <f>IF('Coach Card'!$T$5="",IF($D$1="Team",IF(AH76="","",AH76),""),IF($D$1="Team",IF(AE576="","",AE576),""))</f>
        <v>#N/A</v>
      </c>
      <c r="F77" t="s">
        <v>2007</v>
      </c>
      <c r="G77">
        <v>0.75</v>
      </c>
      <c r="L77" s="1" t="s">
        <v>1767</v>
      </c>
      <c r="M77" t="s">
        <v>1676</v>
      </c>
      <c r="N77" s="3">
        <v>2.15</v>
      </c>
      <c r="O77" s="1" t="s">
        <v>1767</v>
      </c>
      <c r="P77" t="s">
        <v>1676</v>
      </c>
      <c r="Q77" s="3">
        <v>2.15</v>
      </c>
      <c r="R77" s="1" t="s">
        <v>1767</v>
      </c>
      <c r="S77" t="s">
        <v>1676</v>
      </c>
      <c r="T77" s="3">
        <v>2.15</v>
      </c>
      <c r="U77" s="1" t="s">
        <v>1767</v>
      </c>
      <c r="V77" t="s">
        <v>1676</v>
      </c>
      <c r="W77" s="3">
        <v>2.15</v>
      </c>
      <c r="X77" s="1" t="s">
        <v>1767</v>
      </c>
      <c r="Y77" t="s">
        <v>1676</v>
      </c>
      <c r="Z77" s="3">
        <v>2.15</v>
      </c>
      <c r="AK77" t="s">
        <v>1674</v>
      </c>
      <c r="AL77" t="s">
        <v>1674</v>
      </c>
      <c r="AM77">
        <v>1</v>
      </c>
    </row>
    <row r="78" spans="1:39" x14ac:dyDescent="0.35">
      <c r="A78" s="6" t="e">
        <f>IF('Coach Card'!$T$5="",IF($B$1="Solo",IF(L77="","",L77),IF($B$1="MSolo",IF(O77="","",O77),IF($B$1="Duet",IF(R77="","",R77),IF($B$1="Mixed",IF(U77="","",U77),IF(X77="","",X77))))),IF($B$1="Solo",IF(L577="","",L577),IF($B$1="MSolo",IF(L577="","",L577),IF($B$1="Duet",IF(O577="","",O577),IF($B$1="Mixed",IF(R577="","",R577),IF(U577="","",U577))))))</f>
        <v>#N/A</v>
      </c>
      <c r="B78" s="3" t="e">
        <f>IF('Coach Card'!$T$5="",IF($B$1="Solo",IF(M77="","",M77),IF($B$1="MSolo",IF(P77="","",P77),IF($B$1="Duet",IF(S77="","",S77),IF($B$1="Mixed",IF(V77="","",V77),IF(Y77="","",Y77))))),IF($B$1="Solo",IF(M577="","",M577),IF($B$1="MSolo",IF(M577="","",M577),IF($B$1="Duet",IF(P577="","",P577),IF($B$1="Mixed",IF(S577="","",S577),IF(V577="","",V577))))))</f>
        <v>#N/A</v>
      </c>
      <c r="C78" s="3" t="e">
        <f>IF('Coach Card'!$T$5="",IF($B$1="Solo",IF(N77="","",N77),IF($B$1="MSolo",IF(Q77="","",Q77),IF($B$1="Duet",IF(T77="","",T77),IF($B$1="Mixed",IF(W77="","",W77),IF(Z77="","",Z77))))),IF($B$1="Solo",IF(N577="","",N577),IF($B$1="MSolo",IF(N577="","",N577),IF($B$1="Duet",IF(Q577="","",Q577),IF($B$1="Mixed",IF(T577="","",T577),IF(W577="","",W577))))))</f>
        <v>#N/A</v>
      </c>
      <c r="D78" s="3" t="e">
        <f>IF('Coach Card'!$T$5="",IF($D$1="Team",IF(AG77="","",AG77),""),IF($D$1="Team",IF(AD577="","",AD577),""))</f>
        <v>#N/A</v>
      </c>
      <c r="E78" s="3" t="e">
        <f>IF('Coach Card'!$T$5="",IF($D$1="Team",IF(AH77="","",AH77),""),IF($D$1="Team",IF(AE577="","",AE577),""))</f>
        <v>#N/A</v>
      </c>
      <c r="L78" s="1" t="s">
        <v>1767</v>
      </c>
      <c r="M78" t="s">
        <v>1677</v>
      </c>
      <c r="N78" s="3">
        <v>2.35</v>
      </c>
      <c r="O78" s="1" t="s">
        <v>1767</v>
      </c>
      <c r="P78" t="s">
        <v>1677</v>
      </c>
      <c r="Q78" s="3">
        <v>2.35</v>
      </c>
      <c r="R78" s="1" t="s">
        <v>1767</v>
      </c>
      <c r="S78" t="s">
        <v>1677</v>
      </c>
      <c r="T78" s="3">
        <v>2.35</v>
      </c>
      <c r="U78" s="1" t="s">
        <v>1767</v>
      </c>
      <c r="V78" t="s">
        <v>1677</v>
      </c>
      <c r="W78" s="3">
        <v>2.35</v>
      </c>
      <c r="X78" s="1" t="s">
        <v>1767</v>
      </c>
      <c r="Y78" t="s">
        <v>1677</v>
      </c>
      <c r="Z78" s="3">
        <v>2.35</v>
      </c>
      <c r="AK78" t="s">
        <v>1675</v>
      </c>
      <c r="AL78" t="s">
        <v>1675</v>
      </c>
      <c r="AM78">
        <v>1</v>
      </c>
    </row>
    <row r="79" spans="1:39" x14ac:dyDescent="0.35">
      <c r="A79" s="6" t="e">
        <f>IF('Coach Card'!$T$5="",IF($B$1="Solo",IF(L78="","",L78),IF($B$1="MSolo",IF(O78="","",O78),IF($B$1="Duet",IF(R78="","",R78),IF($B$1="Mixed",IF(U78="","",U78),IF(X78="","",X78))))),IF($B$1="Solo",IF(L578="","",L578),IF($B$1="MSolo",IF(L578="","",L578),IF($B$1="Duet",IF(O578="","",O578),IF($B$1="Mixed",IF(R578="","",R578),IF(U578="","",U578))))))</f>
        <v>#N/A</v>
      </c>
      <c r="B79" s="3" t="e">
        <f>IF('Coach Card'!$T$5="",IF($B$1="Solo",IF(M78="","",M78),IF($B$1="MSolo",IF(P78="","",P78),IF($B$1="Duet",IF(S78="","",S78),IF($B$1="Mixed",IF(V78="","",V78),IF(Y78="","",Y78))))),IF($B$1="Solo",IF(M578="","",M578),IF($B$1="MSolo",IF(M578="","",M578),IF($B$1="Duet",IF(P578="","",P578),IF($B$1="Mixed",IF(S578="","",S578),IF(V578="","",V578))))))</f>
        <v>#N/A</v>
      </c>
      <c r="C79" s="3" t="e">
        <f>IF('Coach Card'!$T$5="",IF($B$1="Solo",IF(N78="","",N78),IF($B$1="MSolo",IF(Q78="","",Q78),IF($B$1="Duet",IF(T78="","",T78),IF($B$1="Mixed",IF(W78="","",W78),IF(Z78="","",Z78))))),IF($B$1="Solo",IF(N578="","",N578),IF($B$1="MSolo",IF(N578="","",N578),IF($B$1="Duet",IF(Q578="","",Q578),IF($B$1="Mixed",IF(T578="","",T578),IF(W578="","",W578))))))</f>
        <v>#N/A</v>
      </c>
      <c r="D79" s="3" t="e">
        <f>IF('Coach Card'!$T$5="",IF($D$1="Team",IF(AG78="","",AG78),""),IF($D$1="Team",IF(AD578="","",AD578),""))</f>
        <v>#N/A</v>
      </c>
      <c r="E79" s="3" t="e">
        <f>IF('Coach Card'!$T$5="",IF($D$1="Team",IF(AH78="","",AH78),""),IF($D$1="Team",IF(AE578="","",AE578),""))</f>
        <v>#N/A</v>
      </c>
      <c r="L79" s="1" t="s">
        <v>1767</v>
      </c>
      <c r="M79" t="s">
        <v>1678</v>
      </c>
      <c r="N79" s="3">
        <v>1.95</v>
      </c>
      <c r="O79" s="1" t="s">
        <v>1767</v>
      </c>
      <c r="P79" t="s">
        <v>1678</v>
      </c>
      <c r="Q79" s="3">
        <v>1.95</v>
      </c>
      <c r="R79" s="1" t="s">
        <v>1767</v>
      </c>
      <c r="S79" t="s">
        <v>1678</v>
      </c>
      <c r="T79" s="3">
        <v>1.95</v>
      </c>
      <c r="U79" s="1" t="s">
        <v>1767</v>
      </c>
      <c r="V79" t="s">
        <v>1678</v>
      </c>
      <c r="W79" s="3">
        <v>1.95</v>
      </c>
      <c r="X79" s="1" t="s">
        <v>1767</v>
      </c>
      <c r="Y79" t="s">
        <v>1678</v>
      </c>
      <c r="Z79" s="3">
        <v>1.95</v>
      </c>
      <c r="AK79" t="s">
        <v>1676</v>
      </c>
      <c r="AL79" t="s">
        <v>1676</v>
      </c>
      <c r="AM79">
        <v>1</v>
      </c>
    </row>
    <row r="80" spans="1:39" x14ac:dyDescent="0.35">
      <c r="A80" s="6" t="e">
        <f>IF('Coach Card'!$T$5="",IF($B$1="Solo",IF(L79="","",L79),IF($B$1="MSolo",IF(O79="","",O79),IF($B$1="Duet",IF(R79="","",R79),IF($B$1="Mixed",IF(U79="","",U79),IF(X79="","",X79))))),IF($B$1="Solo",IF(L579="","",L579),IF($B$1="MSolo",IF(L579="","",L579),IF($B$1="Duet",IF(O579="","",O579),IF($B$1="Mixed",IF(R579="","",R579),IF(U579="","",U579))))))</f>
        <v>#N/A</v>
      </c>
      <c r="B80" s="3" t="e">
        <f>IF('Coach Card'!$T$5="",IF($B$1="Solo",IF(M79="","",M79),IF($B$1="MSolo",IF(P79="","",P79),IF($B$1="Duet",IF(S79="","",S79),IF($B$1="Mixed",IF(V79="","",V79),IF(Y79="","",Y79))))),IF($B$1="Solo",IF(M579="","",M579),IF($B$1="MSolo",IF(M579="","",M579),IF($B$1="Duet",IF(P579="","",P579),IF($B$1="Mixed",IF(S579="","",S579),IF(V579="","",V579))))))</f>
        <v>#N/A</v>
      </c>
      <c r="C80" s="3" t="e">
        <f>IF('Coach Card'!$T$5="",IF($B$1="Solo",IF(N79="","",N79),IF($B$1="MSolo",IF(Q79="","",Q79),IF($B$1="Duet",IF(T79="","",T79),IF($B$1="Mixed",IF(W79="","",W79),IF(Z79="","",Z79))))),IF($B$1="Solo",IF(N579="","",N579),IF($B$1="MSolo",IF(N579="","",N579),IF($B$1="Duet",IF(Q579="","",Q579),IF($B$1="Mixed",IF(T579="","",T579),IF(W579="","",W579))))))</f>
        <v>#N/A</v>
      </c>
      <c r="D80" s="3" t="e">
        <f>IF('Coach Card'!$T$5="",IF($D$1="Team",IF(AG79="","",AG79),""),IF($D$1="Team",IF(AD579="","",AD579),""))</f>
        <v>#N/A</v>
      </c>
      <c r="E80" s="3" t="e">
        <f>IF('Coach Card'!$T$5="",IF($D$1="Team",IF(AH79="","",AH79),""),IF($D$1="Team",IF(AE579="","",AE579),""))</f>
        <v>#N/A</v>
      </c>
      <c r="L80" s="1" t="s">
        <v>1767</v>
      </c>
      <c r="M80" t="s">
        <v>1679</v>
      </c>
      <c r="N80" s="3">
        <v>2.4500000000000002</v>
      </c>
      <c r="O80" s="1" t="s">
        <v>1767</v>
      </c>
      <c r="P80" t="s">
        <v>1679</v>
      </c>
      <c r="Q80" s="3">
        <v>2.4500000000000002</v>
      </c>
      <c r="R80" s="1" t="s">
        <v>1767</v>
      </c>
      <c r="S80" t="s">
        <v>1679</v>
      </c>
      <c r="T80" s="3">
        <v>2.4500000000000002</v>
      </c>
      <c r="U80" s="1" t="s">
        <v>1767</v>
      </c>
      <c r="V80" t="s">
        <v>1679</v>
      </c>
      <c r="W80" s="3">
        <v>2.4500000000000002</v>
      </c>
      <c r="X80" s="1" t="s">
        <v>1767</v>
      </c>
      <c r="Y80" t="s">
        <v>1679</v>
      </c>
      <c r="Z80" s="3">
        <v>2.4500000000000002</v>
      </c>
      <c r="AK80" t="s">
        <v>1677</v>
      </c>
      <c r="AL80" t="s">
        <v>1677</v>
      </c>
      <c r="AM80">
        <v>1</v>
      </c>
    </row>
    <row r="81" spans="1:39" x14ac:dyDescent="0.35">
      <c r="A81" s="6" t="e">
        <f>IF('Coach Card'!$T$5="",IF($B$1="Solo",IF(L80="","",L80),IF($B$1="MSolo",IF(O80="","",O80),IF($B$1="Duet",IF(R80="","",R80),IF($B$1="Mixed",IF(U80="","",U80),IF(X80="","",X80))))),IF($B$1="Solo",IF(L580="","",L580),IF($B$1="MSolo",IF(L580="","",L580),IF($B$1="Duet",IF(O580="","",O580),IF($B$1="Mixed",IF(R580="","",R580),IF(U580="","",U580))))))</f>
        <v>#N/A</v>
      </c>
      <c r="B81" s="3" t="e">
        <f>IF('Coach Card'!$T$5="",IF($B$1="Solo",IF(M80="","",M80),IF($B$1="MSolo",IF(P80="","",P80),IF($B$1="Duet",IF(S80="","",S80),IF($B$1="Mixed",IF(V80="","",V80),IF(Y80="","",Y80))))),IF($B$1="Solo",IF(M580="","",M580),IF($B$1="MSolo",IF(M580="","",M580),IF($B$1="Duet",IF(P580="","",P580),IF($B$1="Mixed",IF(S580="","",S580),IF(V580="","",V580))))))</f>
        <v>#N/A</v>
      </c>
      <c r="C81" s="3" t="e">
        <f>IF('Coach Card'!$T$5="",IF($B$1="Solo",IF(N80="","",N80),IF($B$1="MSolo",IF(Q80="","",Q80),IF($B$1="Duet",IF(T80="","",T80),IF($B$1="Mixed",IF(W80="","",W80),IF(Z80="","",Z80))))),IF($B$1="Solo",IF(N580="","",N580),IF($B$1="MSolo",IF(N580="","",N580),IF($B$1="Duet",IF(Q580="","",Q580),IF($B$1="Mixed",IF(T580="","",T580),IF(W580="","",W580))))))</f>
        <v>#N/A</v>
      </c>
      <c r="D81" s="3" t="e">
        <f>IF('Coach Card'!$T$5="",IF($D$1="Team",IF(AG80="","",AG80),""),IF($D$1="Team",IF(AD580="","",AD580),""))</f>
        <v>#N/A</v>
      </c>
      <c r="E81" s="3" t="e">
        <f>IF('Coach Card'!$T$5="",IF($D$1="Team",IF(AH80="","",AH80),""),IF($D$1="Team",IF(AE580="","",AE580),""))</f>
        <v>#N/A</v>
      </c>
      <c r="L81" s="1" t="s">
        <v>1767</v>
      </c>
      <c r="M81" t="s">
        <v>1680</v>
      </c>
      <c r="N81" s="3">
        <v>2.95</v>
      </c>
      <c r="O81" s="1" t="s">
        <v>1767</v>
      </c>
      <c r="P81" t="s">
        <v>1680</v>
      </c>
      <c r="Q81" s="3">
        <v>2.95</v>
      </c>
      <c r="R81" s="1" t="s">
        <v>1767</v>
      </c>
      <c r="S81" t="s">
        <v>1680</v>
      </c>
      <c r="T81" s="3">
        <v>2.95</v>
      </c>
      <c r="U81" s="1" t="s">
        <v>1767</v>
      </c>
      <c r="V81" t="s">
        <v>1680</v>
      </c>
      <c r="W81" s="3">
        <v>2.95</v>
      </c>
      <c r="X81" s="1" t="s">
        <v>1767</v>
      </c>
      <c r="Y81" t="s">
        <v>1680</v>
      </c>
      <c r="Z81" s="3">
        <v>2.95</v>
      </c>
      <c r="AK81" t="s">
        <v>1678</v>
      </c>
      <c r="AL81" t="s">
        <v>1678</v>
      </c>
      <c r="AM81">
        <v>1</v>
      </c>
    </row>
    <row r="82" spans="1:39" x14ac:dyDescent="0.35">
      <c r="A82" s="6" t="e">
        <f>IF('Coach Card'!$T$5="",IF($B$1="Solo",IF(L81="","",L81),IF($B$1="MSolo",IF(O81="","",O81),IF($B$1="Duet",IF(R81="","",R81),IF($B$1="Mixed",IF(U81="","",U81),IF(X81="","",X81))))),IF($B$1="Solo",IF(L581="","",L581),IF($B$1="MSolo",IF(L581="","",L581),IF($B$1="Duet",IF(O581="","",O581),IF($B$1="Mixed",IF(R581="","",R581),IF(U581="","",U581))))))</f>
        <v>#N/A</v>
      </c>
      <c r="B82" s="3" t="e">
        <f>IF('Coach Card'!$T$5="",IF($B$1="Solo",IF(M81="","",M81),IF($B$1="MSolo",IF(P81="","",P81),IF($B$1="Duet",IF(S81="","",S81),IF($B$1="Mixed",IF(V81="","",V81),IF(Y81="","",Y81))))),IF($B$1="Solo",IF(M581="","",M581),IF($B$1="MSolo",IF(M581="","",M581),IF($B$1="Duet",IF(P581="","",P581),IF($B$1="Mixed",IF(S581="","",S581),IF(V581="","",V581))))))</f>
        <v>#N/A</v>
      </c>
      <c r="C82" s="3" t="e">
        <f>IF('Coach Card'!$T$5="",IF($B$1="Solo",IF(N81="","",N81),IF($B$1="MSolo",IF(Q81="","",Q81),IF($B$1="Duet",IF(T81="","",T81),IF($B$1="Mixed",IF(W81="","",W81),IF(Z81="","",Z81))))),IF($B$1="Solo",IF(N581="","",N581),IF($B$1="MSolo",IF(N581="","",N581),IF($B$1="Duet",IF(Q581="","",Q581),IF($B$1="Mixed",IF(T581="","",T581),IF(W581="","",W581))))))</f>
        <v>#N/A</v>
      </c>
      <c r="D82" s="3" t="e">
        <f>IF('Coach Card'!$T$5="",IF($D$1="Team",IF(AG81="","",AG81),""),IF($D$1="Team",IF(AD581="","",AD581),""))</f>
        <v>#N/A</v>
      </c>
      <c r="E82" s="3" t="e">
        <f>IF('Coach Card'!$T$5="",IF($D$1="Team",IF(AH81="","",AH81),""),IF($D$1="Team",IF(AE581="","",AE581),""))</f>
        <v>#N/A</v>
      </c>
      <c r="L82" s="1" t="s">
        <v>1767</v>
      </c>
      <c r="M82" t="s">
        <v>1681</v>
      </c>
      <c r="N82" s="3">
        <v>2.35</v>
      </c>
      <c r="O82" s="1" t="s">
        <v>1767</v>
      </c>
      <c r="P82" t="s">
        <v>1681</v>
      </c>
      <c r="Q82" s="3">
        <v>2.35</v>
      </c>
      <c r="R82" s="1" t="s">
        <v>1767</v>
      </c>
      <c r="S82" t="s">
        <v>1681</v>
      </c>
      <c r="T82" s="3">
        <v>2.35</v>
      </c>
      <c r="U82" s="1" t="s">
        <v>1767</v>
      </c>
      <c r="V82" t="s">
        <v>1681</v>
      </c>
      <c r="W82" s="3">
        <v>2.35</v>
      </c>
      <c r="X82" s="1" t="s">
        <v>1767</v>
      </c>
      <c r="Y82" t="s">
        <v>1681</v>
      </c>
      <c r="Z82" s="3">
        <v>2.35</v>
      </c>
      <c r="AK82" t="s">
        <v>1679</v>
      </c>
      <c r="AL82" t="s">
        <v>1679</v>
      </c>
      <c r="AM82">
        <v>1</v>
      </c>
    </row>
    <row r="83" spans="1:39" x14ac:dyDescent="0.35">
      <c r="A83" s="6" t="e">
        <f>IF('Coach Card'!$T$5="",IF($B$1="Solo",IF(L82="","",L82),IF($B$1="MSolo",IF(O82="","",O82),IF($B$1="Duet",IF(R82="","",R82),IF($B$1="Mixed",IF(U82="","",U82),IF(X82="","",X82))))),IF($B$1="Solo",IF(L582="","",L582),IF($B$1="MSolo",IF(L582="","",L582),IF($B$1="Duet",IF(O582="","",O582),IF($B$1="Mixed",IF(R582="","",R582),IF(U582="","",U582))))))</f>
        <v>#N/A</v>
      </c>
      <c r="B83" s="3" t="e">
        <f>IF('Coach Card'!$T$5="",IF($B$1="Solo",IF(M82="","",M82),IF($B$1="MSolo",IF(P82="","",P82),IF($B$1="Duet",IF(S82="","",S82),IF($B$1="Mixed",IF(V82="","",V82),IF(Y82="","",Y82))))),IF($B$1="Solo",IF(M582="","",M582),IF($B$1="MSolo",IF(M582="","",M582),IF($B$1="Duet",IF(P582="","",P582),IF($B$1="Mixed",IF(S582="","",S582),IF(V582="","",V582))))))</f>
        <v>#N/A</v>
      </c>
      <c r="C83" s="3" t="e">
        <f>IF('Coach Card'!$T$5="",IF($B$1="Solo",IF(N82="","",N82),IF($B$1="MSolo",IF(Q82="","",Q82),IF($B$1="Duet",IF(T82="","",T82),IF($B$1="Mixed",IF(W82="","",W82),IF(Z82="","",Z82))))),IF($B$1="Solo",IF(N582="","",N582),IF($B$1="MSolo",IF(N582="","",N582),IF($B$1="Duet",IF(Q582="","",Q582),IF($B$1="Mixed",IF(T582="","",T582),IF(W582="","",W582))))))</f>
        <v>#N/A</v>
      </c>
      <c r="D83" s="3" t="e">
        <f>IF('Coach Card'!$T$5="",IF($D$1="Team",IF(AG82="","",AG82),""),IF($D$1="Team",IF(AD582="","",AD582),""))</f>
        <v>#N/A</v>
      </c>
      <c r="E83" s="3" t="e">
        <f>IF('Coach Card'!$T$5="",IF($D$1="Team",IF(AH82="","",AH82),""),IF($D$1="Team",IF(AE582="","",AE582),""))</f>
        <v>#N/A</v>
      </c>
      <c r="L83" s="1" t="s">
        <v>1767</v>
      </c>
      <c r="M83" t="s">
        <v>1682</v>
      </c>
      <c r="N83" s="3">
        <v>2.95</v>
      </c>
      <c r="O83" s="1" t="s">
        <v>1767</v>
      </c>
      <c r="P83" t="s">
        <v>1682</v>
      </c>
      <c r="Q83" s="3">
        <v>2.95</v>
      </c>
      <c r="R83" s="1" t="s">
        <v>1767</v>
      </c>
      <c r="S83" t="s">
        <v>1682</v>
      </c>
      <c r="T83" s="3">
        <v>2.95</v>
      </c>
      <c r="U83" s="1" t="s">
        <v>1767</v>
      </c>
      <c r="V83" t="s">
        <v>1682</v>
      </c>
      <c r="W83" s="3">
        <v>2.95</v>
      </c>
      <c r="X83" s="1" t="s">
        <v>1767</v>
      </c>
      <c r="Y83" t="s">
        <v>1682</v>
      </c>
      <c r="Z83" s="3">
        <v>2.95</v>
      </c>
      <c r="AK83" t="s">
        <v>1680</v>
      </c>
      <c r="AL83" t="s">
        <v>1680</v>
      </c>
      <c r="AM83">
        <v>1</v>
      </c>
    </row>
    <row r="84" spans="1:39" x14ac:dyDescent="0.35">
      <c r="A84" s="6" t="e">
        <f>IF('Coach Card'!$T$5="",IF($B$1="Solo",IF(L83="","",L83),IF($B$1="MSolo",IF(O83="","",O83),IF($B$1="Duet",IF(R83="","",R83),IF($B$1="Mixed",IF(U83="","",U83),IF(X83="","",X83))))),IF($B$1="Solo",IF(L583="","",L583),IF($B$1="MSolo",IF(L583="","",L583),IF($B$1="Duet",IF(O583="","",O583),IF($B$1="Mixed",IF(R583="","",R583),IF(U583="","",U583))))))</f>
        <v>#N/A</v>
      </c>
      <c r="B84" s="3" t="e">
        <f>IF('Coach Card'!$T$5="",IF($B$1="Solo",IF(M83="","",M83),IF($B$1="MSolo",IF(P83="","",P83),IF($B$1="Duet",IF(S83="","",S83),IF($B$1="Mixed",IF(V83="","",V83),IF(Y83="","",Y83))))),IF($B$1="Solo",IF(M583="","",M583),IF($B$1="MSolo",IF(M583="","",M583),IF($B$1="Duet",IF(P583="","",P583),IF($B$1="Mixed",IF(S583="","",S583),IF(V583="","",V583))))))</f>
        <v>#N/A</v>
      </c>
      <c r="C84" s="3" t="e">
        <f>IF('Coach Card'!$T$5="",IF($B$1="Solo",IF(N83="","",N83),IF($B$1="MSolo",IF(Q83="","",Q83),IF($B$1="Duet",IF(T83="","",T83),IF($B$1="Mixed",IF(W83="","",W83),IF(Z83="","",Z83))))),IF($B$1="Solo",IF(N583="","",N583),IF($B$1="MSolo",IF(N583="","",N583),IF($B$1="Duet",IF(Q583="","",Q583),IF($B$1="Mixed",IF(T583="","",T583),IF(W583="","",W583))))))</f>
        <v>#N/A</v>
      </c>
      <c r="D84" s="3" t="e">
        <f>IF('Coach Card'!$T$5="",IF($D$1="Team",IF(AG83="","",AG83),""),IF($D$1="Team",IF(AD583="","",AD583),""))</f>
        <v>#N/A</v>
      </c>
      <c r="E84" s="3" t="e">
        <f>IF('Coach Card'!$T$5="",IF($D$1="Team",IF(AH83="","",AH83),""),IF($D$1="Team",IF(AE583="","",AE583),""))</f>
        <v>#N/A</v>
      </c>
      <c r="L84" s="1" t="s">
        <v>1767</v>
      </c>
      <c r="M84" t="s">
        <v>1683</v>
      </c>
      <c r="N84" s="3">
        <v>3.35</v>
      </c>
      <c r="O84" s="1" t="s">
        <v>1767</v>
      </c>
      <c r="P84" t="s">
        <v>1683</v>
      </c>
      <c r="Q84" s="3">
        <v>3.35</v>
      </c>
      <c r="R84" s="1" t="s">
        <v>1767</v>
      </c>
      <c r="S84" t="s">
        <v>1683</v>
      </c>
      <c r="T84" s="3">
        <v>3.35</v>
      </c>
      <c r="U84" s="1" t="s">
        <v>1767</v>
      </c>
      <c r="V84" t="s">
        <v>1683</v>
      </c>
      <c r="W84" s="3">
        <v>3.35</v>
      </c>
      <c r="X84" s="1" t="s">
        <v>1767</v>
      </c>
      <c r="Y84" t="s">
        <v>1683</v>
      </c>
      <c r="Z84" s="3">
        <v>3.35</v>
      </c>
      <c r="AK84" t="s">
        <v>1681</v>
      </c>
      <c r="AL84" t="s">
        <v>1681</v>
      </c>
      <c r="AM84">
        <v>1</v>
      </c>
    </row>
    <row r="85" spans="1:39" x14ac:dyDescent="0.35">
      <c r="A85" s="6" t="e">
        <f>IF('Coach Card'!$T$5="",IF($B$1="Solo",IF(L84="","",L84),IF($B$1="MSolo",IF(O84="","",O84),IF($B$1="Duet",IF(R84="","",R84),IF($B$1="Mixed",IF(U84="","",U84),IF(X84="","",X84))))),IF($B$1="Solo",IF(L584="","",L584),IF($B$1="MSolo",IF(L584="","",L584),IF($B$1="Duet",IF(O584="","",O584),IF($B$1="Mixed",IF(R584="","",R584),IF(U584="","",U584))))))</f>
        <v>#N/A</v>
      </c>
      <c r="B85" s="3" t="e">
        <f>IF('Coach Card'!$T$5="",IF($B$1="Solo",IF(M84="","",M84),IF($B$1="MSolo",IF(P84="","",P84),IF($B$1="Duet",IF(S84="","",S84),IF($B$1="Mixed",IF(V84="","",V84),IF(Y84="","",Y84))))),IF($B$1="Solo",IF(M584="","",M584),IF($B$1="MSolo",IF(M584="","",M584),IF($B$1="Duet",IF(P584="","",P584),IF($B$1="Mixed",IF(S584="","",S584),IF(V584="","",V584))))))</f>
        <v>#N/A</v>
      </c>
      <c r="C85" s="3" t="e">
        <f>IF('Coach Card'!$T$5="",IF($B$1="Solo",IF(N84="","",N84),IF($B$1="MSolo",IF(Q84="","",Q84),IF($B$1="Duet",IF(T84="","",T84),IF($B$1="Mixed",IF(W84="","",W84),IF(Z84="","",Z84))))),IF($B$1="Solo",IF(N584="","",N584),IF($B$1="MSolo",IF(N584="","",N584),IF($B$1="Duet",IF(Q584="","",Q584),IF($B$1="Mixed",IF(T584="","",T584),IF(W584="","",W584))))))</f>
        <v>#N/A</v>
      </c>
      <c r="D85" s="3" t="e">
        <f>IF('Coach Card'!$T$5="",IF($D$1="Team",IF(AG84="","",AG84),""),IF($D$1="Team",IF(AD584="","",AD584),""))</f>
        <v>#N/A</v>
      </c>
      <c r="E85" s="3" t="e">
        <f>IF('Coach Card'!$T$5="",IF($D$1="Team",IF(AH84="","",AH84),""),IF($D$1="Team",IF(AE584="","",AE584),""))</f>
        <v>#N/A</v>
      </c>
      <c r="L85" s="1" t="s">
        <v>1767</v>
      </c>
      <c r="M85" t="s">
        <v>1684</v>
      </c>
      <c r="N85" s="3">
        <v>3.55</v>
      </c>
      <c r="O85" s="1" t="s">
        <v>1767</v>
      </c>
      <c r="P85" t="s">
        <v>1684</v>
      </c>
      <c r="Q85" s="3">
        <v>3.55</v>
      </c>
      <c r="R85" s="1" t="s">
        <v>1767</v>
      </c>
      <c r="S85" t="s">
        <v>1684</v>
      </c>
      <c r="T85" s="3">
        <v>3.55</v>
      </c>
      <c r="U85" s="1" t="s">
        <v>1767</v>
      </c>
      <c r="V85" t="s">
        <v>1684</v>
      </c>
      <c r="W85" s="3">
        <v>3.55</v>
      </c>
      <c r="X85" s="1" t="s">
        <v>1767</v>
      </c>
      <c r="Y85" t="s">
        <v>1684</v>
      </c>
      <c r="Z85" s="3">
        <v>3.55</v>
      </c>
      <c r="AK85" t="s">
        <v>1682</v>
      </c>
      <c r="AL85" t="s">
        <v>1682</v>
      </c>
      <c r="AM85">
        <v>1</v>
      </c>
    </row>
    <row r="86" spans="1:39" x14ac:dyDescent="0.35">
      <c r="A86" s="6" t="e">
        <f>IF('Coach Card'!$T$5="",IF($B$1="Solo",IF(L85="","",L85),IF($B$1="MSolo",IF(O85="","",O85),IF($B$1="Duet",IF(R85="","",R85),IF($B$1="Mixed",IF(U85="","",U85),IF(X85="","",X85))))),IF($B$1="Solo",IF(L585="","",L585),IF($B$1="MSolo",IF(L585="","",L585),IF($B$1="Duet",IF(O585="","",O585),IF($B$1="Mixed",IF(R585="","",R585),IF(U585="","",U585))))))</f>
        <v>#N/A</v>
      </c>
      <c r="B86" s="3" t="e">
        <f>IF('Coach Card'!$T$5="",IF($B$1="Solo",IF(M85="","",M85),IF($B$1="MSolo",IF(P85="","",P85),IF($B$1="Duet",IF(S85="","",S85),IF($B$1="Mixed",IF(V85="","",V85),IF(Y85="","",Y85))))),IF($B$1="Solo",IF(M585="","",M585),IF($B$1="MSolo",IF(M585="","",M585),IF($B$1="Duet",IF(P585="","",P585),IF($B$1="Mixed",IF(S585="","",S585),IF(V585="","",V585))))))</f>
        <v>#N/A</v>
      </c>
      <c r="C86" s="3" t="e">
        <f>IF('Coach Card'!$T$5="",IF($B$1="Solo",IF(N85="","",N85),IF($B$1="MSolo",IF(Q85="","",Q85),IF($B$1="Duet",IF(T85="","",T85),IF($B$1="Mixed",IF(W85="","",W85),IF(Z85="","",Z85))))),IF($B$1="Solo",IF(N585="","",N585),IF($B$1="MSolo",IF(N585="","",N585),IF($B$1="Duet",IF(Q585="","",Q585),IF($B$1="Mixed",IF(T585="","",T585),IF(W585="","",W585))))))</f>
        <v>#N/A</v>
      </c>
      <c r="D86" s="3" t="e">
        <f>IF('Coach Card'!$T$5="",IF($D$1="Team",IF(AG85="","",AG85),""),IF($D$1="Team",IF(AD585="","",AD585),""))</f>
        <v>#N/A</v>
      </c>
      <c r="E86" s="3" t="e">
        <f>IF('Coach Card'!$T$5="",IF($D$1="Team",IF(AH85="","",AH85),""),IF($D$1="Team",IF(AE585="","",AE585),""))</f>
        <v>#N/A</v>
      </c>
      <c r="L86" s="1" t="s">
        <v>1767</v>
      </c>
      <c r="M86" t="s">
        <v>1685</v>
      </c>
      <c r="N86" s="3">
        <v>3.45</v>
      </c>
      <c r="O86" s="1" t="s">
        <v>1767</v>
      </c>
      <c r="P86" t="s">
        <v>1685</v>
      </c>
      <c r="Q86" s="3">
        <v>3.45</v>
      </c>
      <c r="R86" s="1" t="s">
        <v>1767</v>
      </c>
      <c r="S86" t="s">
        <v>1685</v>
      </c>
      <c r="T86" s="3">
        <v>3.45</v>
      </c>
      <c r="U86" s="1" t="s">
        <v>1767</v>
      </c>
      <c r="V86" t="s">
        <v>1685</v>
      </c>
      <c r="W86" s="3">
        <v>3.45</v>
      </c>
      <c r="X86" s="1" t="s">
        <v>1767</v>
      </c>
      <c r="Y86" t="s">
        <v>1685</v>
      </c>
      <c r="Z86" s="3">
        <v>3.45</v>
      </c>
      <c r="AK86" t="s">
        <v>1683</v>
      </c>
      <c r="AL86" t="s">
        <v>1683</v>
      </c>
      <c r="AM86">
        <v>1</v>
      </c>
    </row>
    <row r="87" spans="1:39" x14ac:dyDescent="0.35">
      <c r="A87" s="6" t="e">
        <f>IF('Coach Card'!$T$5="",IF($B$1="Solo",IF(L86="","",L86),IF($B$1="MSolo",IF(O86="","",O86),IF($B$1="Duet",IF(R86="","",R86),IF($B$1="Mixed",IF(U86="","",U86),IF(X86="","",X86))))),IF($B$1="Solo",IF(L586="","",L586),IF($B$1="MSolo",IF(L586="","",L586),IF($B$1="Duet",IF(O586="","",O586),IF($B$1="Mixed",IF(R586="","",R586),IF(U586="","",U586))))))</f>
        <v>#N/A</v>
      </c>
      <c r="B87" s="3" t="e">
        <f>IF('Coach Card'!$T$5="",IF($B$1="Solo",IF(M86="","",M86),IF($B$1="MSolo",IF(P86="","",P86),IF($B$1="Duet",IF(S86="","",S86),IF($B$1="Mixed",IF(V86="","",V86),IF(Y86="","",Y86))))),IF($B$1="Solo",IF(M586="","",M586),IF($B$1="MSolo",IF(M586="","",M586),IF($B$1="Duet",IF(P586="","",P586),IF($B$1="Mixed",IF(S586="","",S586),IF(V586="","",V586))))))</f>
        <v>#N/A</v>
      </c>
      <c r="C87" s="3" t="e">
        <f>IF('Coach Card'!$T$5="",IF($B$1="Solo",IF(N86="","",N86),IF($B$1="MSolo",IF(Q86="","",Q86),IF($B$1="Duet",IF(T86="","",T86),IF($B$1="Mixed",IF(W86="","",W86),IF(Z86="","",Z86))))),IF($B$1="Solo",IF(N586="","",N586),IF($B$1="MSolo",IF(N586="","",N586),IF($B$1="Duet",IF(Q586="","",Q586),IF($B$1="Mixed",IF(T586="","",T586),IF(W586="","",W586))))))</f>
        <v>#N/A</v>
      </c>
      <c r="D87" s="3" t="e">
        <f>IF('Coach Card'!$T$5="",IF($D$1="Team",IF(AG86="","",AG86),""),IF($D$1="Team",IF(AD586="","",AD586),""))</f>
        <v>#N/A</v>
      </c>
      <c r="E87" s="3" t="e">
        <f>IF('Coach Card'!$T$5="",IF($D$1="Team",IF(AH86="","",AH86),""),IF($D$1="Team",IF(AE586="","",AE586),""))</f>
        <v>#N/A</v>
      </c>
      <c r="L87" s="1" t="s">
        <v>1767</v>
      </c>
      <c r="M87" t="s">
        <v>1686</v>
      </c>
      <c r="N87" s="3">
        <v>4.1500000000000004</v>
      </c>
      <c r="O87" s="1" t="s">
        <v>1767</v>
      </c>
      <c r="P87" t="s">
        <v>1686</v>
      </c>
      <c r="Q87" s="3">
        <v>4.1500000000000004</v>
      </c>
      <c r="R87" s="1" t="s">
        <v>1767</v>
      </c>
      <c r="S87" t="s">
        <v>1686</v>
      </c>
      <c r="T87" s="3">
        <v>4.1500000000000004</v>
      </c>
      <c r="U87" s="1" t="s">
        <v>1767</v>
      </c>
      <c r="V87" t="s">
        <v>1686</v>
      </c>
      <c r="W87" s="3">
        <v>4.1500000000000004</v>
      </c>
      <c r="X87" s="1" t="s">
        <v>1767</v>
      </c>
      <c r="Y87" t="s">
        <v>1686</v>
      </c>
      <c r="Z87" s="3">
        <v>4.1500000000000004</v>
      </c>
      <c r="AK87" t="s">
        <v>1684</v>
      </c>
      <c r="AL87" t="s">
        <v>1684</v>
      </c>
      <c r="AM87">
        <v>1</v>
      </c>
    </row>
    <row r="88" spans="1:39" x14ac:dyDescent="0.35">
      <c r="A88" s="6" t="e">
        <f>IF('Coach Card'!$T$5="",IF($B$1="Solo",IF(L87="","",L87),IF($B$1="MSolo",IF(O87="","",O87),IF($B$1="Duet",IF(R87="","",R87),IF($B$1="Mixed",IF(U87="","",U87),IF(X87="","",X87))))),IF($B$1="Solo",IF(L587="","",L587),IF($B$1="MSolo",IF(L587="","",L587),IF($B$1="Duet",IF(O587="","",O587),IF($B$1="Mixed",IF(R587="","",R587),IF(U587="","",U587))))))</f>
        <v>#N/A</v>
      </c>
      <c r="B88" s="3" t="e">
        <f>IF('Coach Card'!$T$5="",IF($B$1="Solo",IF(M87="","",M87),IF($B$1="MSolo",IF(P87="","",P87),IF($B$1="Duet",IF(S87="","",S87),IF($B$1="Mixed",IF(V87="","",V87),IF(Y87="","",Y87))))),IF($B$1="Solo",IF(M587="","",M587),IF($B$1="MSolo",IF(M587="","",M587),IF($B$1="Duet",IF(P587="","",P587),IF($B$1="Mixed",IF(S587="","",S587),IF(V587="","",V587))))))</f>
        <v>#N/A</v>
      </c>
      <c r="C88" s="3" t="e">
        <f>IF('Coach Card'!$T$5="",IF($B$1="Solo",IF(N87="","",N87),IF($B$1="MSolo",IF(Q87="","",Q87),IF($B$1="Duet",IF(T87="","",T87),IF($B$1="Mixed",IF(W87="","",W87),IF(Z87="","",Z87))))),IF($B$1="Solo",IF(N587="","",N587),IF($B$1="MSolo",IF(N587="","",N587),IF($B$1="Duet",IF(Q587="","",Q587),IF($B$1="Mixed",IF(T587="","",T587),IF(W587="","",W587))))))</f>
        <v>#N/A</v>
      </c>
      <c r="D88" s="3" t="e">
        <f>IF('Coach Card'!$T$5="",IF($D$1="Team",IF(AG87="","",AG87),""),IF($D$1="Team",IF(AD587="","",AD587),""))</f>
        <v>#N/A</v>
      </c>
      <c r="E88" s="3" t="e">
        <f>IF('Coach Card'!$T$5="",IF($D$1="Team",IF(AH87="","",AH87),""),IF($D$1="Team",IF(AE587="","",AE587),""))</f>
        <v>#N/A</v>
      </c>
      <c r="L88" s="1" t="s">
        <v>1767</v>
      </c>
      <c r="M88" t="s">
        <v>1687</v>
      </c>
      <c r="N88" s="3">
        <v>3.95</v>
      </c>
      <c r="O88" s="1" t="s">
        <v>1767</v>
      </c>
      <c r="P88" t="s">
        <v>1687</v>
      </c>
      <c r="Q88" s="3">
        <v>3.95</v>
      </c>
      <c r="R88" s="1" t="s">
        <v>1767</v>
      </c>
      <c r="S88" t="s">
        <v>1687</v>
      </c>
      <c r="T88" s="3">
        <v>3.95</v>
      </c>
      <c r="U88" s="1" t="s">
        <v>1767</v>
      </c>
      <c r="V88" t="s">
        <v>1687</v>
      </c>
      <c r="W88" s="3">
        <v>3.95</v>
      </c>
      <c r="X88" s="1" t="s">
        <v>1767</v>
      </c>
      <c r="Y88" t="s">
        <v>1687</v>
      </c>
      <c r="Z88" s="3">
        <v>3.95</v>
      </c>
      <c r="AK88" t="s">
        <v>1685</v>
      </c>
      <c r="AL88" t="s">
        <v>1685</v>
      </c>
      <c r="AM88">
        <v>1</v>
      </c>
    </row>
    <row r="89" spans="1:39" x14ac:dyDescent="0.35">
      <c r="A89" s="6" t="e">
        <f>IF('Coach Card'!$T$5="",IF($B$1="Solo",IF(L88="","",L88),IF($B$1="MSolo",IF(O88="","",O88),IF($B$1="Duet",IF(R88="","",R88),IF($B$1="Mixed",IF(U88="","",U88),IF(X88="","",X88))))),IF($B$1="Solo",IF(L588="","",L588),IF($B$1="MSolo",IF(L588="","",L588),IF($B$1="Duet",IF(O588="","",O588),IF($B$1="Mixed",IF(R588="","",R588),IF(U588="","",U588))))))</f>
        <v>#N/A</v>
      </c>
      <c r="B89" s="3" t="e">
        <f>IF('Coach Card'!$T$5="",IF($B$1="Solo",IF(M88="","",M88),IF($B$1="MSolo",IF(P88="","",P88),IF($B$1="Duet",IF(S88="","",S88),IF($B$1="Mixed",IF(V88="","",V88),IF(Y88="","",Y88))))),IF($B$1="Solo",IF(M588="","",M588),IF($B$1="MSolo",IF(M588="","",M588),IF($B$1="Duet",IF(P588="","",P588),IF($B$1="Mixed",IF(S588="","",S588),IF(V588="","",V588))))))</f>
        <v>#N/A</v>
      </c>
      <c r="C89" s="3" t="e">
        <f>IF('Coach Card'!$T$5="",IF($B$1="Solo",IF(N88="","",N88),IF($B$1="MSolo",IF(Q88="","",Q88),IF($B$1="Duet",IF(T88="","",T88),IF($B$1="Mixed",IF(W88="","",W88),IF(Z88="","",Z88))))),IF($B$1="Solo",IF(N588="","",N588),IF($B$1="MSolo",IF(N588="","",N588),IF($B$1="Duet",IF(Q588="","",Q588),IF($B$1="Mixed",IF(T588="","",T588),IF(W588="","",W588))))))</f>
        <v>#N/A</v>
      </c>
      <c r="D89" s="3" t="e">
        <f>IF('Coach Card'!$T$5="",IF($D$1="Team",IF(AG88="","",AG88),""),IF($D$1="Team",IF(AD588="","",AD588),""))</f>
        <v>#N/A</v>
      </c>
      <c r="E89" s="3" t="e">
        <f>IF('Coach Card'!$T$5="",IF($D$1="Team",IF(AH88="","",AH88),""),IF($D$1="Team",IF(AE588="","",AE588),""))</f>
        <v>#N/A</v>
      </c>
      <c r="L89" s="1" t="s">
        <v>1767</v>
      </c>
      <c r="M89" t="s">
        <v>1688</v>
      </c>
      <c r="N89" s="3">
        <v>4.75</v>
      </c>
      <c r="O89" s="1" t="s">
        <v>1767</v>
      </c>
      <c r="P89" t="s">
        <v>1688</v>
      </c>
      <c r="Q89" s="3">
        <v>4.75</v>
      </c>
      <c r="R89" s="1" t="s">
        <v>1767</v>
      </c>
      <c r="S89" t="s">
        <v>1688</v>
      </c>
      <c r="T89" s="3">
        <v>4.75</v>
      </c>
      <c r="U89" s="1" t="s">
        <v>1767</v>
      </c>
      <c r="V89" t="s">
        <v>1688</v>
      </c>
      <c r="W89" s="3">
        <v>4.75</v>
      </c>
      <c r="X89" s="1" t="s">
        <v>1767</v>
      </c>
      <c r="Y89" t="s">
        <v>1688</v>
      </c>
      <c r="Z89" s="3">
        <v>4.75</v>
      </c>
      <c r="AK89" t="s">
        <v>1686</v>
      </c>
      <c r="AL89" t="s">
        <v>1686</v>
      </c>
      <c r="AM89">
        <v>1</v>
      </c>
    </row>
    <row r="90" spans="1:39" x14ac:dyDescent="0.35">
      <c r="A90" s="6" t="e">
        <f>IF('Coach Card'!$T$5="",IF($B$1="Solo",IF(L89="","",L89),IF($B$1="MSolo",IF(O89="","",O89),IF($B$1="Duet",IF(R89="","",R89),IF($B$1="Mixed",IF(U89="","",U89),IF(X89="","",X89))))),IF($B$1="Solo",IF(L589="","",L589),IF($B$1="MSolo",IF(L589="","",L589),IF($B$1="Duet",IF(O589="","",O589),IF($B$1="Mixed",IF(R589="","",R589),IF(U589="","",U589))))))</f>
        <v>#N/A</v>
      </c>
      <c r="B90" s="3" t="e">
        <f>IF('Coach Card'!$T$5="",IF($B$1="Solo",IF(M89="","",M89),IF($B$1="MSolo",IF(P89="","",P89),IF($B$1="Duet",IF(S89="","",S89),IF($B$1="Mixed",IF(V89="","",V89),IF(Y89="","",Y89))))),IF($B$1="Solo",IF(M589="","",M589),IF($B$1="MSolo",IF(M589="","",M589),IF($B$1="Duet",IF(P589="","",P589),IF($B$1="Mixed",IF(S589="","",S589),IF(V589="","",V589))))))</f>
        <v>#N/A</v>
      </c>
      <c r="C90" s="3" t="e">
        <f>IF('Coach Card'!$T$5="",IF($B$1="Solo",IF(N89="","",N89),IF($B$1="MSolo",IF(Q89="","",Q89),IF($B$1="Duet",IF(T89="","",T89),IF($B$1="Mixed",IF(W89="","",W89),IF(Z89="","",Z89))))),IF($B$1="Solo",IF(N589="","",N589),IF($B$1="MSolo",IF(N589="","",N589),IF($B$1="Duet",IF(Q589="","",Q589),IF($B$1="Mixed",IF(T589="","",T589),IF(W589="","",W589))))))</f>
        <v>#N/A</v>
      </c>
      <c r="D90" s="3" t="e">
        <f>IF('Coach Card'!$T$5="",IF($D$1="Team",IF(AG89="","",AG89),""),IF($D$1="Team",IF(AD589="","",AD589),""))</f>
        <v>#N/A</v>
      </c>
      <c r="E90" s="3" t="e">
        <f>IF('Coach Card'!$T$5="",IF($D$1="Team",IF(AH89="","",AH89),""),IF($D$1="Team",IF(AE589="","",AE589),""))</f>
        <v>#N/A</v>
      </c>
      <c r="L90" s="1" t="s">
        <v>1767</v>
      </c>
      <c r="M90" t="s">
        <v>1689</v>
      </c>
      <c r="N90" s="3">
        <v>4.45</v>
      </c>
      <c r="O90" s="1" t="s">
        <v>1767</v>
      </c>
      <c r="P90" t="s">
        <v>1689</v>
      </c>
      <c r="Q90" s="3">
        <v>4.45</v>
      </c>
      <c r="R90" s="1" t="s">
        <v>1767</v>
      </c>
      <c r="S90" t="s">
        <v>1689</v>
      </c>
      <c r="T90" s="3">
        <v>4.45</v>
      </c>
      <c r="U90" s="1" t="s">
        <v>1767</v>
      </c>
      <c r="V90" t="s">
        <v>1689</v>
      </c>
      <c r="W90" s="3">
        <v>4.45</v>
      </c>
      <c r="X90" s="1" t="s">
        <v>1767</v>
      </c>
      <c r="Y90" t="s">
        <v>1689</v>
      </c>
      <c r="Z90" s="3">
        <v>4.45</v>
      </c>
      <c r="AK90" t="s">
        <v>1687</v>
      </c>
      <c r="AL90" t="s">
        <v>1687</v>
      </c>
      <c r="AM90">
        <v>1</v>
      </c>
    </row>
    <row r="91" spans="1:39" x14ac:dyDescent="0.35">
      <c r="A91" s="6" t="e">
        <f>IF('Coach Card'!$T$5="",IF($B$1="Solo",IF(L90="","",L90),IF($B$1="MSolo",IF(O90="","",O90),IF($B$1="Duet",IF(R90="","",R90),IF($B$1="Mixed",IF(U90="","",U90),IF(X90="","",X90))))),IF($B$1="Solo",IF(L590="","",L590),IF($B$1="MSolo",IF(L590="","",L590),IF($B$1="Duet",IF(O590="","",O590),IF($B$1="Mixed",IF(R590="","",R590),IF(U590="","",U590))))))</f>
        <v>#N/A</v>
      </c>
      <c r="B91" s="3" t="e">
        <f>IF('Coach Card'!$T$5="",IF($B$1="Solo",IF(M90="","",M90),IF($B$1="MSolo",IF(P90="","",P90),IF($B$1="Duet",IF(S90="","",S90),IF($B$1="Mixed",IF(V90="","",V90),IF(Y90="","",Y90))))),IF($B$1="Solo",IF(M590="","",M590),IF($B$1="MSolo",IF(M590="","",M590),IF($B$1="Duet",IF(P590="","",P590),IF($B$1="Mixed",IF(S590="","",S590),IF(V590="","",V590))))))</f>
        <v>#N/A</v>
      </c>
      <c r="C91" s="3" t="e">
        <f>IF('Coach Card'!$T$5="",IF($B$1="Solo",IF(N90="","",N90),IF($B$1="MSolo",IF(Q90="","",Q90),IF($B$1="Duet",IF(T90="","",T90),IF($B$1="Mixed",IF(W90="","",W90),IF(Z90="","",Z90))))),IF($B$1="Solo",IF(N590="","",N590),IF($B$1="MSolo",IF(N590="","",N590),IF($B$1="Duet",IF(Q590="","",Q590),IF($B$1="Mixed",IF(T590="","",T590),IF(W590="","",W590))))))</f>
        <v>#N/A</v>
      </c>
      <c r="D91" s="3" t="e">
        <f>IF('Coach Card'!$T$5="",IF($D$1="Team",IF(AG90="","",AG90),""),IF($D$1="Team",IF(AD590="","",AD590),""))</f>
        <v>#N/A</v>
      </c>
      <c r="E91" s="3" t="e">
        <f>IF('Coach Card'!$T$5="",IF($D$1="Team",IF(AH90="","",AH90),""),IF($D$1="Team",IF(AE590="","",AE590),""))</f>
        <v>#N/A</v>
      </c>
      <c r="L91" s="1" t="s">
        <v>1767</v>
      </c>
      <c r="M91" t="s">
        <v>1690</v>
      </c>
      <c r="N91" s="3">
        <v>5.35</v>
      </c>
      <c r="O91" s="1" t="s">
        <v>1767</v>
      </c>
      <c r="P91" t="s">
        <v>1690</v>
      </c>
      <c r="Q91" s="3">
        <v>5.35</v>
      </c>
      <c r="R91" s="1" t="s">
        <v>1767</v>
      </c>
      <c r="S91" t="s">
        <v>1690</v>
      </c>
      <c r="T91" s="3">
        <v>5.35</v>
      </c>
      <c r="U91" s="1" t="s">
        <v>1767</v>
      </c>
      <c r="V91" t="s">
        <v>1690</v>
      </c>
      <c r="W91" s="3">
        <v>5.35</v>
      </c>
      <c r="X91" s="1" t="s">
        <v>1767</v>
      </c>
      <c r="Y91" t="s">
        <v>1690</v>
      </c>
      <c r="Z91" s="3">
        <v>5.35</v>
      </c>
      <c r="AK91" t="s">
        <v>1688</v>
      </c>
      <c r="AL91" t="s">
        <v>1688</v>
      </c>
      <c r="AM91">
        <v>1</v>
      </c>
    </row>
    <row r="92" spans="1:39" x14ac:dyDescent="0.35">
      <c r="A92" s="6" t="e">
        <f>IF('Coach Card'!$T$5="",IF($B$1="Solo",IF(L91="","",L91),IF($B$1="MSolo",IF(O91="","",O91),IF($B$1="Duet",IF(R91="","",R91),IF($B$1="Mixed",IF(U91="","",U91),IF(X91="","",X91))))),IF($B$1="Solo",IF(L591="","",L591),IF($B$1="MSolo",IF(L591="","",L591),IF($B$1="Duet",IF(O591="","",O591),IF($B$1="Mixed",IF(R591="","",R591),IF(U591="","",U591))))))</f>
        <v>#N/A</v>
      </c>
      <c r="B92" s="3" t="e">
        <f>IF('Coach Card'!$T$5="",IF($B$1="Solo",IF(M91="","",M91),IF($B$1="MSolo",IF(P91="","",P91),IF($B$1="Duet",IF(S91="","",S91),IF($B$1="Mixed",IF(V91="","",V91),IF(Y91="","",Y91))))),IF($B$1="Solo",IF(M591="","",M591),IF($B$1="MSolo",IF(M591="","",M591),IF($B$1="Duet",IF(P591="","",P591),IF($B$1="Mixed",IF(S591="","",S591),IF(V591="","",V591))))))</f>
        <v>#N/A</v>
      </c>
      <c r="C92" s="3" t="e">
        <f>IF('Coach Card'!$T$5="",IF($B$1="Solo",IF(N91="","",N91),IF($B$1="MSolo",IF(Q91="","",Q91),IF($B$1="Duet",IF(T91="","",T91),IF($B$1="Mixed",IF(W91="","",W91),IF(Z91="","",Z91))))),IF($B$1="Solo",IF(N591="","",N591),IF($B$1="MSolo",IF(N591="","",N591),IF($B$1="Duet",IF(Q591="","",Q591),IF($B$1="Mixed",IF(T591="","",T591),IF(W591="","",W591))))))</f>
        <v>#N/A</v>
      </c>
      <c r="D92" s="3" t="e">
        <f>IF('Coach Card'!$T$5="",IF($D$1="Team",IF(AG91="","",AG91),""),IF($D$1="Team",IF(AD591="","",AD591),""))</f>
        <v>#N/A</v>
      </c>
      <c r="E92" s="3" t="e">
        <f>IF('Coach Card'!$T$5="",IF($D$1="Team",IF(AH91="","",AH91),""),IF($D$1="Team",IF(AE591="","",AE591),""))</f>
        <v>#N/A</v>
      </c>
      <c r="L92" s="1" t="s">
        <v>1767</v>
      </c>
      <c r="M92" t="s">
        <v>1691</v>
      </c>
      <c r="N92" s="3">
        <v>4.95</v>
      </c>
      <c r="O92" s="1" t="s">
        <v>1767</v>
      </c>
      <c r="P92" t="s">
        <v>1691</v>
      </c>
      <c r="Q92" s="3">
        <v>4.95</v>
      </c>
      <c r="R92" s="1" t="s">
        <v>1767</v>
      </c>
      <c r="S92" t="s">
        <v>1691</v>
      </c>
      <c r="T92" s="3">
        <v>4.95</v>
      </c>
      <c r="U92" s="1" t="s">
        <v>1767</v>
      </c>
      <c r="V92" t="s">
        <v>1691</v>
      </c>
      <c r="W92" s="3">
        <v>4.95</v>
      </c>
      <c r="X92" s="1" t="s">
        <v>1767</v>
      </c>
      <c r="Y92" t="s">
        <v>1691</v>
      </c>
      <c r="Z92" s="3">
        <v>4.95</v>
      </c>
      <c r="AK92" t="s">
        <v>1689</v>
      </c>
      <c r="AL92" t="s">
        <v>1689</v>
      </c>
      <c r="AM92">
        <v>1</v>
      </c>
    </row>
    <row r="93" spans="1:39" x14ac:dyDescent="0.35">
      <c r="A93" s="6" t="e">
        <f>IF('Coach Card'!$T$5="",IF($B$1="Solo",IF(L92="","",L92),IF($B$1="MSolo",IF(O92="","",O92),IF($B$1="Duet",IF(R92="","",R92),IF($B$1="Mixed",IF(U92="","",U92),IF(X92="","",X92))))),IF($B$1="Solo",IF(L592="","",L592),IF($B$1="MSolo",IF(L592="","",L592),IF($B$1="Duet",IF(O592="","",O592),IF($B$1="Mixed",IF(R592="","",R592),IF(U592="","",U592))))))</f>
        <v>#N/A</v>
      </c>
      <c r="B93" s="3" t="e">
        <f>IF('Coach Card'!$T$5="",IF($B$1="Solo",IF(M92="","",M92),IF($B$1="MSolo",IF(P92="","",P92),IF($B$1="Duet",IF(S92="","",S92),IF($B$1="Mixed",IF(V92="","",V92),IF(Y92="","",Y92))))),IF($B$1="Solo",IF(M592="","",M592),IF($B$1="MSolo",IF(M592="","",M592),IF($B$1="Duet",IF(P592="","",P592),IF($B$1="Mixed",IF(S592="","",S592),IF(V592="","",V592))))))</f>
        <v>#N/A</v>
      </c>
      <c r="C93" s="3" t="e">
        <f>IF('Coach Card'!$T$5="",IF($B$1="Solo",IF(N92="","",N92),IF($B$1="MSolo",IF(Q92="","",Q92),IF($B$1="Duet",IF(T92="","",T92),IF($B$1="Mixed",IF(W92="","",W92),IF(Z92="","",Z92))))),IF($B$1="Solo",IF(N592="","",N592),IF($B$1="MSolo",IF(N592="","",N592),IF($B$1="Duet",IF(Q592="","",Q592),IF($B$1="Mixed",IF(T592="","",T592),IF(W592="","",W592))))))</f>
        <v>#N/A</v>
      </c>
      <c r="D93" s="3" t="e">
        <f>IF('Coach Card'!$T$5="",IF($D$1="Team",IF(AG92="","",AG92),""),IF($D$1="Team",IF(AD592="","",AD592),""))</f>
        <v>#N/A</v>
      </c>
      <c r="E93" s="3" t="e">
        <f>IF('Coach Card'!$T$5="",IF($D$1="Team",IF(AH92="","",AH92),""),IF($D$1="Team",IF(AE592="","",AE592),""))</f>
        <v>#N/A</v>
      </c>
      <c r="L93" s="1" t="s">
        <v>1767</v>
      </c>
      <c r="M93" t="s">
        <v>1692</v>
      </c>
      <c r="N93" s="3">
        <v>5.95</v>
      </c>
      <c r="O93" s="1" t="s">
        <v>1767</v>
      </c>
      <c r="P93" t="s">
        <v>1692</v>
      </c>
      <c r="Q93" s="3">
        <v>5.95</v>
      </c>
      <c r="R93" s="1" t="s">
        <v>1767</v>
      </c>
      <c r="S93" t="s">
        <v>1692</v>
      </c>
      <c r="T93" s="3">
        <v>5.95</v>
      </c>
      <c r="U93" s="1" t="s">
        <v>1767</v>
      </c>
      <c r="V93" t="s">
        <v>1692</v>
      </c>
      <c r="W93" s="3">
        <v>5.95</v>
      </c>
      <c r="X93" s="1" t="s">
        <v>1767</v>
      </c>
      <c r="Y93" t="s">
        <v>1692</v>
      </c>
      <c r="Z93" s="3">
        <v>5.95</v>
      </c>
      <c r="AK93" t="s">
        <v>1690</v>
      </c>
      <c r="AL93" t="s">
        <v>1690</v>
      </c>
      <c r="AM93">
        <v>1</v>
      </c>
    </row>
    <row r="94" spans="1:39" x14ac:dyDescent="0.35">
      <c r="A94" s="6" t="e">
        <f>IF('Coach Card'!$T$5="",IF($B$1="Solo",IF(L93="","",L93),IF($B$1="MSolo",IF(O93="","",O93),IF($B$1="Duet",IF(R93="","",R93),IF($B$1="Mixed",IF(U93="","",U93),IF(X93="","",X93))))),IF($B$1="Solo",IF(L593="","",L593),IF($B$1="MSolo",IF(L593="","",L593),IF($B$1="Duet",IF(O593="","",O593),IF($B$1="Mixed",IF(R593="","",R593),IF(U593="","",U593))))))</f>
        <v>#N/A</v>
      </c>
      <c r="B94" s="3" t="e">
        <f>IF('Coach Card'!$T$5="",IF($B$1="Solo",IF(M93="","",M93),IF($B$1="MSolo",IF(P93="","",P93),IF($B$1="Duet",IF(S93="","",S93),IF($B$1="Mixed",IF(V93="","",V93),IF(Y93="","",Y93))))),IF($B$1="Solo",IF(M593="","",M593),IF($B$1="MSolo",IF(M593="","",M593),IF($B$1="Duet",IF(P593="","",P593),IF($B$1="Mixed",IF(S593="","",S593),IF(V593="","",V593))))))</f>
        <v>#N/A</v>
      </c>
      <c r="C94" s="3" t="e">
        <f>IF('Coach Card'!$T$5="",IF($B$1="Solo",IF(N93="","",N93),IF($B$1="MSolo",IF(Q93="","",Q93),IF($B$1="Duet",IF(T93="","",T93),IF($B$1="Mixed",IF(W93="","",W93),IF(Z93="","",Z93))))),IF($B$1="Solo",IF(N593="","",N593),IF($B$1="MSolo",IF(N593="","",N593),IF($B$1="Duet",IF(Q593="","",Q593),IF($B$1="Mixed",IF(T593="","",T593),IF(W593="","",W593))))))</f>
        <v>#N/A</v>
      </c>
      <c r="D94" s="3" t="e">
        <f>IF('Coach Card'!$T$5="",IF($D$1="Team",IF(AG93="","",AG93),""),IF($D$1="Team",IF(AD593="","",AD593),""))</f>
        <v>#N/A</v>
      </c>
      <c r="E94" s="3" t="e">
        <f>IF('Coach Card'!$T$5="",IF($D$1="Team",IF(AH93="","",AH93),""),IF($D$1="Team",IF(AE593="","",AE593),""))</f>
        <v>#N/A</v>
      </c>
      <c r="L94" s="1" t="s">
        <v>1631</v>
      </c>
      <c r="M94" t="s">
        <v>1693</v>
      </c>
      <c r="N94" s="3">
        <v>0.05</v>
      </c>
      <c r="O94" s="1" t="s">
        <v>1631</v>
      </c>
      <c r="P94" t="s">
        <v>1693</v>
      </c>
      <c r="Q94" s="3">
        <v>0.05</v>
      </c>
      <c r="R94" s="1" t="s">
        <v>1631</v>
      </c>
      <c r="S94" t="s">
        <v>1693</v>
      </c>
      <c r="T94" s="3">
        <v>0.05</v>
      </c>
      <c r="U94" s="1" t="s">
        <v>1631</v>
      </c>
      <c r="V94" t="s">
        <v>1693</v>
      </c>
      <c r="W94" s="3">
        <v>0.05</v>
      </c>
      <c r="X94" s="1" t="s">
        <v>1631</v>
      </c>
      <c r="Y94" t="s">
        <v>1693</v>
      </c>
      <c r="Z94" s="3">
        <v>0.05</v>
      </c>
      <c r="AK94" t="s">
        <v>1691</v>
      </c>
      <c r="AL94" t="s">
        <v>1691</v>
      </c>
      <c r="AM94">
        <v>1</v>
      </c>
    </row>
    <row r="95" spans="1:39" x14ac:dyDescent="0.35">
      <c r="A95" s="6" t="e">
        <f>IF('Coach Card'!$T$5="",IF($B$1="Solo",IF(L94="","",L94),IF($B$1="MSolo",IF(O94="","",O94),IF($B$1="Duet",IF(R94="","",R94),IF($B$1="Mixed",IF(U94="","",U94),IF(X94="","",X94))))),IF($B$1="Solo",IF(L594="","",L594),IF($B$1="MSolo",IF(L594="","",L594),IF($B$1="Duet",IF(O594="","",O594),IF($B$1="Mixed",IF(R594="","",R594),IF(U594="","",U594))))))</f>
        <v>#N/A</v>
      </c>
      <c r="B95" s="3" t="e">
        <f>IF('Coach Card'!$T$5="",IF($B$1="Solo",IF(M94="","",M94),IF($B$1="MSolo",IF(P94="","",P94),IF($B$1="Duet",IF(S94="","",S94),IF($B$1="Mixed",IF(V94="","",V94),IF(Y94="","",Y94))))),IF($B$1="Solo",IF(M594="","",M594),IF($B$1="MSolo",IF(M594="","",M594),IF($B$1="Duet",IF(P594="","",P594),IF($B$1="Mixed",IF(S594="","",S594),IF(V594="","",V594))))))</f>
        <v>#N/A</v>
      </c>
      <c r="C95" s="3" t="e">
        <f>IF('Coach Card'!$T$5="",IF($B$1="Solo",IF(N94="","",N94),IF($B$1="MSolo",IF(Q94="","",Q94),IF($B$1="Duet",IF(T94="","",T94),IF($B$1="Mixed",IF(W94="","",W94),IF(Z94="","",Z94))))),IF($B$1="Solo",IF(N594="","",N594),IF($B$1="MSolo",IF(N594="","",N594),IF($B$1="Duet",IF(Q594="","",Q594),IF($B$1="Mixed",IF(T594="","",T594),IF(W594="","",W594))))))</f>
        <v>#N/A</v>
      </c>
      <c r="D95" s="3" t="e">
        <f>IF('Coach Card'!$T$5="",IF($D$1="Team",IF(AG94="","",AG94),""),IF($D$1="Team",IF(AD594="","",AD594),""))</f>
        <v>#N/A</v>
      </c>
      <c r="E95" s="3" t="e">
        <f>IF('Coach Card'!$T$5="",IF($D$1="Team",IF(AH94="","",AH94),""),IF($D$1="Team",IF(AE594="","",AE594),""))</f>
        <v>#N/A</v>
      </c>
      <c r="L95" s="1" t="s">
        <v>1631</v>
      </c>
      <c r="M95" t="s">
        <v>1800</v>
      </c>
      <c r="N95" s="3">
        <v>0.1</v>
      </c>
      <c r="O95" s="1" t="s">
        <v>1631</v>
      </c>
      <c r="P95" t="s">
        <v>1800</v>
      </c>
      <c r="Q95" s="3">
        <v>0.1</v>
      </c>
      <c r="R95" s="1" t="s">
        <v>1631</v>
      </c>
      <c r="S95" t="s">
        <v>1800</v>
      </c>
      <c r="T95" s="3">
        <v>0.1</v>
      </c>
      <c r="U95" s="1" t="s">
        <v>1631</v>
      </c>
      <c r="V95" t="s">
        <v>1800</v>
      </c>
      <c r="W95" s="3">
        <v>0.1</v>
      </c>
      <c r="X95" s="1" t="s">
        <v>1631</v>
      </c>
      <c r="Y95" t="s">
        <v>1800</v>
      </c>
      <c r="Z95" s="3">
        <v>0.1</v>
      </c>
      <c r="AK95" t="s">
        <v>1692</v>
      </c>
      <c r="AL95" t="s">
        <v>1692</v>
      </c>
      <c r="AM95">
        <v>1</v>
      </c>
    </row>
    <row r="96" spans="1:39" x14ac:dyDescent="0.35">
      <c r="A96" s="6" t="e">
        <f>IF('Coach Card'!$T$5="",IF($B$1="Solo",IF(L95="","",L95),IF($B$1="MSolo",IF(O95="","",O95),IF($B$1="Duet",IF(R95="","",R95),IF($B$1="Mixed",IF(U95="","",U95),IF(X95="","",X95))))),IF($B$1="Solo",IF(L595="","",L595),IF($B$1="MSolo",IF(L595="","",L595),IF($B$1="Duet",IF(O595="","",O595),IF($B$1="Mixed",IF(R595="","",R595),IF(U595="","",U595))))))</f>
        <v>#N/A</v>
      </c>
      <c r="B96" s="3" t="e">
        <f>IF('Coach Card'!$T$5="",IF($B$1="Solo",IF(M95="","",M95),IF($B$1="MSolo",IF(P95="","",P95),IF($B$1="Duet",IF(S95="","",S95),IF($B$1="Mixed",IF(V95="","",V95),IF(Y95="","",Y95))))),IF($B$1="Solo",IF(M595="","",M595),IF($B$1="MSolo",IF(M595="","",M595),IF($B$1="Duet",IF(P595="","",P595),IF($B$1="Mixed",IF(S595="","",S595),IF(V595="","",V595))))))</f>
        <v>#N/A</v>
      </c>
      <c r="C96" s="3" t="e">
        <f>IF('Coach Card'!$T$5="",IF($B$1="Solo",IF(N95="","",N95),IF($B$1="MSolo",IF(Q95="","",Q95),IF($B$1="Duet",IF(T95="","",T95),IF($B$1="Mixed",IF(W95="","",W95),IF(Z95="","",Z95))))),IF($B$1="Solo",IF(N595="","",N595),IF($B$1="MSolo",IF(N595="","",N595),IF($B$1="Duet",IF(Q595="","",Q595),IF($B$1="Mixed",IF(T595="","",T595),IF(W595="","",W595))))))</f>
        <v>#N/A</v>
      </c>
      <c r="D96" s="3" t="e">
        <f>IF('Coach Card'!$T$5="",IF($D$1="Team",IF(AG95="","",AG95),""),IF($D$1="Team",IF(AD595="","",AD595),""))</f>
        <v>#N/A</v>
      </c>
      <c r="E96" s="3" t="e">
        <f>IF('Coach Card'!$T$5="",IF($D$1="Team",IF(AH95="","",AH95),""),IF($D$1="Team",IF(AE595="","",AE595),""))</f>
        <v>#N/A</v>
      </c>
      <c r="L96" s="1" t="s">
        <v>1631</v>
      </c>
      <c r="M96" t="s">
        <v>1801</v>
      </c>
      <c r="N96" s="3">
        <v>0.1</v>
      </c>
      <c r="O96" s="1" t="s">
        <v>1631</v>
      </c>
      <c r="P96" t="s">
        <v>1801</v>
      </c>
      <c r="Q96" s="3">
        <v>0.1</v>
      </c>
      <c r="R96" s="1" t="s">
        <v>1631</v>
      </c>
      <c r="S96" t="s">
        <v>1801</v>
      </c>
      <c r="T96" s="3">
        <v>0.1</v>
      </c>
      <c r="U96" s="1" t="s">
        <v>1631</v>
      </c>
      <c r="V96" t="s">
        <v>1801</v>
      </c>
      <c r="W96" s="3">
        <v>0.1</v>
      </c>
      <c r="X96" s="1" t="s">
        <v>1631</v>
      </c>
      <c r="Y96" t="s">
        <v>1801</v>
      </c>
      <c r="Z96" s="3">
        <v>0.1</v>
      </c>
      <c r="AK96" t="s">
        <v>1693</v>
      </c>
      <c r="AL96" t="s">
        <v>1693</v>
      </c>
      <c r="AM96">
        <v>1</v>
      </c>
    </row>
    <row r="97" spans="1:39" x14ac:dyDescent="0.35">
      <c r="A97" s="6" t="e">
        <f>IF('Coach Card'!$T$5="",IF($B$1="Solo",IF(L96="","",L96),IF($B$1="MSolo",IF(O96="","",O96),IF($B$1="Duet",IF(R96="","",R96),IF($B$1="Mixed",IF(U96="","",U96),IF(X96="","",X96))))),IF($B$1="Solo",IF(L596="","",L596),IF($B$1="MSolo",IF(L596="","",L596),IF($B$1="Duet",IF(O596="","",O596),IF($B$1="Mixed",IF(R596="","",R596),IF(U596="","",U596))))))</f>
        <v>#N/A</v>
      </c>
      <c r="B97" s="3" t="e">
        <f>IF('Coach Card'!$T$5="",IF($B$1="Solo",IF(M96="","",M96),IF($B$1="MSolo",IF(P96="","",P96),IF($B$1="Duet",IF(S96="","",S96),IF($B$1="Mixed",IF(V96="","",V96),IF(Y96="","",Y96))))),IF($B$1="Solo",IF(M596="","",M596),IF($B$1="MSolo",IF(M596="","",M596),IF($B$1="Duet",IF(P596="","",P596),IF($B$1="Mixed",IF(S596="","",S596),IF(V596="","",V596))))))</f>
        <v>#N/A</v>
      </c>
      <c r="C97" s="3" t="e">
        <f>IF('Coach Card'!$T$5="",IF($B$1="Solo",IF(N96="","",N96),IF($B$1="MSolo",IF(Q96="","",Q96),IF($B$1="Duet",IF(T96="","",T96),IF($B$1="Mixed",IF(W96="","",W96),IF(Z96="","",Z96))))),IF($B$1="Solo",IF(N596="","",N596),IF($B$1="MSolo",IF(N596="","",N596),IF($B$1="Duet",IF(Q596="","",Q596),IF($B$1="Mixed",IF(T596="","",T596),IF(W596="","",W596))))))</f>
        <v>#N/A</v>
      </c>
      <c r="D97" s="3" t="e">
        <f>IF('Coach Card'!$T$5="",IF($D$1="Team",IF(AG96="","",AG96),""),IF($D$1="Team",IF(AD596="","",AD596),""))</f>
        <v>#N/A</v>
      </c>
      <c r="E97" s="3" t="e">
        <f>IF('Coach Card'!$T$5="",IF($D$1="Team",IF(AH96="","",AH96),""),IF($D$1="Team",IF(AE596="","",AE596),""))</f>
        <v>#N/A</v>
      </c>
      <c r="L97" s="1" t="s">
        <v>1631</v>
      </c>
      <c r="M97" t="s">
        <v>1802</v>
      </c>
      <c r="N97" s="3">
        <v>0.1</v>
      </c>
      <c r="O97" s="1" t="s">
        <v>1631</v>
      </c>
      <c r="P97" t="s">
        <v>1802</v>
      </c>
      <c r="Q97" s="3">
        <v>0.1</v>
      </c>
      <c r="R97" s="1" t="s">
        <v>1631</v>
      </c>
      <c r="S97" t="s">
        <v>1802</v>
      </c>
      <c r="T97" s="3">
        <v>0.1</v>
      </c>
      <c r="U97" s="1" t="s">
        <v>1631</v>
      </c>
      <c r="V97" t="s">
        <v>1802</v>
      </c>
      <c r="W97" s="3">
        <v>0.1</v>
      </c>
      <c r="X97" s="1" t="s">
        <v>1631</v>
      </c>
      <c r="Y97" t="s">
        <v>1802</v>
      </c>
      <c r="Z97" s="3">
        <v>0.1</v>
      </c>
      <c r="AK97" t="s">
        <v>1800</v>
      </c>
      <c r="AL97" t="s">
        <v>1800</v>
      </c>
      <c r="AM97">
        <v>1</v>
      </c>
    </row>
    <row r="98" spans="1:39" x14ac:dyDescent="0.35">
      <c r="A98" s="6" t="e">
        <f>IF('Coach Card'!$T$5="",IF($B$1="Solo",IF(L97="","",L97),IF($B$1="MSolo",IF(O97="","",O97),IF($B$1="Duet",IF(R97="","",R97),IF($B$1="Mixed",IF(U97="","",U97),IF(X97="","",X97))))),IF($B$1="Solo",IF(L597="","",L597),IF($B$1="MSolo",IF(L597="","",L597),IF($B$1="Duet",IF(O597="","",O597),IF($B$1="Mixed",IF(R597="","",R597),IF(U597="","",U597))))))</f>
        <v>#N/A</v>
      </c>
      <c r="B98" s="3" t="e">
        <f>IF('Coach Card'!$T$5="",IF($B$1="Solo",IF(M97="","",M97),IF($B$1="MSolo",IF(P97="","",P97),IF($B$1="Duet",IF(S97="","",S97),IF($B$1="Mixed",IF(V97="","",V97),IF(Y97="","",Y97))))),IF($B$1="Solo",IF(M597="","",M597),IF($B$1="MSolo",IF(M597="","",M597),IF($B$1="Duet",IF(P597="","",P597),IF($B$1="Mixed",IF(S597="","",S597),IF(V597="","",V597))))))</f>
        <v>#N/A</v>
      </c>
      <c r="C98" s="3" t="e">
        <f>IF('Coach Card'!$T$5="",IF($B$1="Solo",IF(N97="","",N97),IF($B$1="MSolo",IF(Q97="","",Q97),IF($B$1="Duet",IF(T97="","",T97),IF($B$1="Mixed",IF(W97="","",W97),IF(Z97="","",Z97))))),IF($B$1="Solo",IF(N597="","",N597),IF($B$1="MSolo",IF(N597="","",N597),IF($B$1="Duet",IF(Q597="","",Q597),IF($B$1="Mixed",IF(T597="","",T597),IF(W597="","",W597))))))</f>
        <v>#N/A</v>
      </c>
      <c r="D98" s="3" t="e">
        <f>IF('Coach Card'!$T$5="",IF($D$1="Team",IF(AG97="","",AG97),""),IF($D$1="Team",IF(AD597="","",AD597),""))</f>
        <v>#N/A</v>
      </c>
      <c r="E98" s="3" t="e">
        <f>IF('Coach Card'!$T$5="",IF($D$1="Team",IF(AH97="","",AH97),""),IF($D$1="Team",IF(AE597="","",AE597),""))</f>
        <v>#N/A</v>
      </c>
      <c r="L98" s="1" t="s">
        <v>1631</v>
      </c>
      <c r="M98" t="s">
        <v>1803</v>
      </c>
      <c r="N98" s="3">
        <v>0.1</v>
      </c>
      <c r="O98" s="1" t="s">
        <v>1631</v>
      </c>
      <c r="P98" t="s">
        <v>1803</v>
      </c>
      <c r="Q98" s="3">
        <v>0.1</v>
      </c>
      <c r="R98" s="1" t="s">
        <v>1631</v>
      </c>
      <c r="S98" t="s">
        <v>1803</v>
      </c>
      <c r="T98" s="3">
        <v>0.1</v>
      </c>
      <c r="U98" s="1" t="s">
        <v>1631</v>
      </c>
      <c r="V98" t="s">
        <v>1803</v>
      </c>
      <c r="W98" s="3">
        <v>0.1</v>
      </c>
      <c r="X98" s="1" t="s">
        <v>1631</v>
      </c>
      <c r="Y98" t="s">
        <v>1803</v>
      </c>
      <c r="Z98" s="3">
        <v>0.1</v>
      </c>
      <c r="AK98" t="s">
        <v>1801</v>
      </c>
      <c r="AL98" t="s">
        <v>1801</v>
      </c>
      <c r="AM98">
        <v>1</v>
      </c>
    </row>
    <row r="99" spans="1:39" x14ac:dyDescent="0.35">
      <c r="A99" s="6" t="e">
        <f>IF('Coach Card'!$T$5="",IF($B$1="Solo",IF(L98="","",L98),IF($B$1="MSolo",IF(O98="","",O98),IF($B$1="Duet",IF(R98="","",R98),IF($B$1="Mixed",IF(U98="","",U98),IF(X98="","",X98))))),IF($B$1="Solo",IF(L598="","",L598),IF($B$1="MSolo",IF(L598="","",L598),IF($B$1="Duet",IF(O598="","",O598),IF($B$1="Mixed",IF(R598="","",R598),IF(U598="","",U598))))))</f>
        <v>#N/A</v>
      </c>
      <c r="B99" s="3" t="e">
        <f>IF('Coach Card'!$T$5="",IF($B$1="Solo",IF(M98="","",M98),IF($B$1="MSolo",IF(P98="","",P98),IF($B$1="Duet",IF(S98="","",S98),IF($B$1="Mixed",IF(V98="","",V98),IF(Y98="","",Y98))))),IF($B$1="Solo",IF(M598="","",M598),IF($B$1="MSolo",IF(M598="","",M598),IF($B$1="Duet",IF(P598="","",P598),IF($B$1="Mixed",IF(S598="","",S598),IF(V598="","",V598))))))</f>
        <v>#N/A</v>
      </c>
      <c r="C99" s="3" t="e">
        <f>IF('Coach Card'!$T$5="",IF($B$1="Solo",IF(N98="","",N98),IF($B$1="MSolo",IF(Q98="","",Q98),IF($B$1="Duet",IF(T98="","",T98),IF($B$1="Mixed",IF(W98="","",W98),IF(Z98="","",Z98))))),IF($B$1="Solo",IF(N598="","",N598),IF($B$1="MSolo",IF(N598="","",N598),IF($B$1="Duet",IF(Q598="","",Q598),IF($B$1="Mixed",IF(T598="","",T598),IF(W598="","",W598))))))</f>
        <v>#N/A</v>
      </c>
      <c r="D99" s="3" t="e">
        <f>IF('Coach Card'!$T$5="",IF($D$1="Team",IF(AG98="","",AG98),""),IF($D$1="Team",IF(AD598="","",AD598),""))</f>
        <v>#N/A</v>
      </c>
      <c r="E99" s="3" t="e">
        <f>IF('Coach Card'!$T$5="",IF($D$1="Team",IF(AH98="","",AH98),""),IF($D$1="Team",IF(AE598="","",AE598),""))</f>
        <v>#N/A</v>
      </c>
      <c r="L99" s="1" t="s">
        <v>1631</v>
      </c>
      <c r="M99" t="s">
        <v>1804</v>
      </c>
      <c r="N99" s="3">
        <v>0.15</v>
      </c>
      <c r="O99" s="1" t="s">
        <v>1631</v>
      </c>
      <c r="P99" t="s">
        <v>1804</v>
      </c>
      <c r="Q99" s="3">
        <v>0.15</v>
      </c>
      <c r="R99" s="1" t="s">
        <v>1631</v>
      </c>
      <c r="S99" t="s">
        <v>1804</v>
      </c>
      <c r="T99" s="3">
        <v>0.15</v>
      </c>
      <c r="U99" s="1" t="s">
        <v>1631</v>
      </c>
      <c r="V99" t="s">
        <v>1804</v>
      </c>
      <c r="W99" s="3">
        <v>0.15</v>
      </c>
      <c r="X99" s="1" t="s">
        <v>1631</v>
      </c>
      <c r="Y99" t="s">
        <v>1804</v>
      </c>
      <c r="Z99" s="3">
        <v>0.15</v>
      </c>
      <c r="AK99" t="s">
        <v>1802</v>
      </c>
      <c r="AL99" t="s">
        <v>1802</v>
      </c>
      <c r="AM99">
        <v>1</v>
      </c>
    </row>
    <row r="100" spans="1:39" x14ac:dyDescent="0.35">
      <c r="A100" s="6" t="e">
        <f>IF('Coach Card'!$T$5="",IF($B$1="Solo",IF(L99="","",L99),IF($B$1="MSolo",IF(O99="","",O99),IF($B$1="Duet",IF(R99="","",R99),IF($B$1="Mixed",IF(U99="","",U99),IF(X99="","",X99))))),IF($B$1="Solo",IF(L599="","",L599),IF($B$1="MSolo",IF(L599="","",L599),IF($B$1="Duet",IF(O599="","",O599),IF($B$1="Mixed",IF(R599="","",R599),IF(U599="","",U599))))))</f>
        <v>#N/A</v>
      </c>
      <c r="B100" s="3" t="e">
        <f>IF('Coach Card'!$T$5="",IF($B$1="Solo",IF(M99="","",M99),IF($B$1="MSolo",IF(P99="","",P99),IF($B$1="Duet",IF(S99="","",S99),IF($B$1="Mixed",IF(V99="","",V99),IF(Y99="","",Y99))))),IF($B$1="Solo",IF(M599="","",M599),IF($B$1="MSolo",IF(M599="","",M599),IF($B$1="Duet",IF(P599="","",P599),IF($B$1="Mixed",IF(S599="","",S599),IF(V599="","",V599))))))</f>
        <v>#N/A</v>
      </c>
      <c r="C100" s="3" t="e">
        <f>IF('Coach Card'!$T$5="",IF($B$1="Solo",IF(N99="","",N99),IF($B$1="MSolo",IF(Q99="","",Q99),IF($B$1="Duet",IF(T99="","",T99),IF($B$1="Mixed",IF(W99="","",W99),IF(Z99="","",Z99))))),IF($B$1="Solo",IF(N599="","",N599),IF($B$1="MSolo",IF(N599="","",N599),IF($B$1="Duet",IF(Q599="","",Q599),IF($B$1="Mixed",IF(T599="","",T599),IF(W599="","",W599))))))</f>
        <v>#N/A</v>
      </c>
      <c r="D100" s="3" t="e">
        <f>IF('Coach Card'!$T$5="",IF($D$1="Team",IF(AG99="","",AG99),""),IF($D$1="Team",IF(AD599="","",AD599),""))</f>
        <v>#N/A</v>
      </c>
      <c r="E100" s="3" t="e">
        <f>IF('Coach Card'!$T$5="",IF($D$1="Team",IF(AH99="","",AH99),""),IF($D$1="Team",IF(AE599="","",AE599),""))</f>
        <v>#N/A</v>
      </c>
      <c r="L100" s="1" t="s">
        <v>1631</v>
      </c>
      <c r="M100" t="s">
        <v>1805</v>
      </c>
      <c r="N100" s="3">
        <v>0.15</v>
      </c>
      <c r="O100" s="1" t="s">
        <v>1631</v>
      </c>
      <c r="P100" t="s">
        <v>1805</v>
      </c>
      <c r="Q100" s="3">
        <v>0.15</v>
      </c>
      <c r="R100" s="1" t="s">
        <v>1631</v>
      </c>
      <c r="S100" t="s">
        <v>1805</v>
      </c>
      <c r="T100" s="3">
        <v>0.15</v>
      </c>
      <c r="U100" s="1" t="s">
        <v>1631</v>
      </c>
      <c r="V100" t="s">
        <v>1805</v>
      </c>
      <c r="W100" s="3">
        <v>0.15</v>
      </c>
      <c r="X100" s="1" t="s">
        <v>1631</v>
      </c>
      <c r="Y100" t="s">
        <v>1805</v>
      </c>
      <c r="Z100" s="3">
        <v>0.15</v>
      </c>
      <c r="AK100" t="s">
        <v>1803</v>
      </c>
      <c r="AL100" t="s">
        <v>1803</v>
      </c>
      <c r="AM100">
        <v>1</v>
      </c>
    </row>
    <row r="101" spans="1:39" x14ac:dyDescent="0.35">
      <c r="A101" s="6" t="e">
        <f>IF('Coach Card'!$T$5="",IF($B$1="Solo",IF(L100="","",L100),IF($B$1="MSolo",IF(O100="","",O100),IF($B$1="Duet",IF(R100="","",R100),IF($B$1="Mixed",IF(U100="","",U100),IF(X100="","",X100))))),IF($B$1="Solo",IF(L600="","",L600),IF($B$1="MSolo",IF(L600="","",L600),IF($B$1="Duet",IF(O600="","",O600),IF($B$1="Mixed",IF(R600="","",R600),IF(U600="","",U600))))))</f>
        <v>#N/A</v>
      </c>
      <c r="B101" s="3" t="e">
        <f>IF('Coach Card'!$T$5="",IF($B$1="Solo",IF(M100="","",M100),IF($B$1="MSolo",IF(P100="","",P100),IF($B$1="Duet",IF(S100="","",S100),IF($B$1="Mixed",IF(V100="","",V100),IF(Y100="","",Y100))))),IF($B$1="Solo",IF(M600="","",M600),IF($B$1="MSolo",IF(M600="","",M600),IF($B$1="Duet",IF(P600="","",P600),IF($B$1="Mixed",IF(S600="","",S600),IF(V600="","",V600))))))</f>
        <v>#N/A</v>
      </c>
      <c r="C101" s="3" t="e">
        <f>IF('Coach Card'!$T$5="",IF($B$1="Solo",IF(N100="","",N100),IF($B$1="MSolo",IF(Q100="","",Q100),IF($B$1="Duet",IF(T100="","",T100),IF($B$1="Mixed",IF(W100="","",W100),IF(Z100="","",Z100))))),IF($B$1="Solo",IF(N600="","",N600),IF($B$1="MSolo",IF(N600="","",N600),IF($B$1="Duet",IF(Q600="","",Q600),IF($B$1="Mixed",IF(T600="","",T600),IF(W600="","",W600))))))</f>
        <v>#N/A</v>
      </c>
      <c r="D101" s="3" t="e">
        <f>IF('Coach Card'!$T$5="",IF($D$1="Team",IF(AG100="","",AG100),""),IF($D$1="Team",IF(AD600="","",AD600),""))</f>
        <v>#N/A</v>
      </c>
      <c r="E101" s="3" t="e">
        <f>IF('Coach Card'!$T$5="",IF($D$1="Team",IF(AH100="","",AH100),""),IF($D$1="Team",IF(AE600="","",AE600),""))</f>
        <v>#N/A</v>
      </c>
      <c r="L101" s="1" t="s">
        <v>1631</v>
      </c>
      <c r="M101" t="s">
        <v>1806</v>
      </c>
      <c r="N101" s="3">
        <v>0.2</v>
      </c>
      <c r="O101" s="1" t="s">
        <v>1631</v>
      </c>
      <c r="P101" t="s">
        <v>1806</v>
      </c>
      <c r="Q101" s="3">
        <v>0.2</v>
      </c>
      <c r="R101" s="1" t="s">
        <v>1631</v>
      </c>
      <c r="S101" t="s">
        <v>1806</v>
      </c>
      <c r="T101" s="3">
        <v>0.2</v>
      </c>
      <c r="U101" s="1" t="s">
        <v>1631</v>
      </c>
      <c r="V101" t="s">
        <v>1806</v>
      </c>
      <c r="W101" s="3">
        <v>0.2</v>
      </c>
      <c r="X101" s="1" t="s">
        <v>1631</v>
      </c>
      <c r="Y101" t="s">
        <v>1806</v>
      </c>
      <c r="Z101" s="3">
        <v>0.2</v>
      </c>
      <c r="AK101" t="s">
        <v>1804</v>
      </c>
      <c r="AL101" t="s">
        <v>1804</v>
      </c>
      <c r="AM101">
        <v>1</v>
      </c>
    </row>
    <row r="102" spans="1:39" x14ac:dyDescent="0.35">
      <c r="A102" s="6" t="e">
        <f>IF('Coach Card'!$T$5="",IF($B$1="Solo",IF(L101="","",L101),IF($B$1="MSolo",IF(O101="","",O101),IF($B$1="Duet",IF(R101="","",R101),IF($B$1="Mixed",IF(U101="","",U101),IF(X101="","",X101))))),IF($B$1="Solo",IF(L601="","",L601),IF($B$1="MSolo",IF(L601="","",L601),IF($B$1="Duet",IF(O601="","",O601),IF($B$1="Mixed",IF(R601="","",R601),IF(U601="","",U601))))))</f>
        <v>#N/A</v>
      </c>
      <c r="B102" s="3" t="e">
        <f>IF('Coach Card'!$T$5="",IF($B$1="Solo",IF(M101="","",M101),IF($B$1="MSolo",IF(P101="","",P101),IF($B$1="Duet",IF(S101="","",S101),IF($B$1="Mixed",IF(V101="","",V101),IF(Y101="","",Y101))))),IF($B$1="Solo",IF(M601="","",M601),IF($B$1="MSolo",IF(M601="","",M601),IF($B$1="Duet",IF(P601="","",P601),IF($B$1="Mixed",IF(S601="","",S601),IF(V601="","",V601))))))</f>
        <v>#N/A</v>
      </c>
      <c r="C102" s="3" t="e">
        <f>IF('Coach Card'!$T$5="",IF($B$1="Solo",IF(N101="","",N101),IF($B$1="MSolo",IF(Q101="","",Q101),IF($B$1="Duet",IF(T101="","",T101),IF($B$1="Mixed",IF(W101="","",W101),IF(Z101="","",Z101))))),IF($B$1="Solo",IF(N601="","",N601),IF($B$1="MSolo",IF(N601="","",N601),IF($B$1="Duet",IF(Q601="","",Q601),IF($B$1="Mixed",IF(T601="","",T601),IF(W601="","",W601))))))</f>
        <v>#N/A</v>
      </c>
      <c r="D102" s="3" t="e">
        <f>IF('Coach Card'!$T$5="",IF($D$1="Team",IF(AG101="","",AG101),""),IF($D$1="Team",IF(AD601="","",AD601),""))</f>
        <v>#N/A</v>
      </c>
      <c r="E102" s="3" t="e">
        <f>IF('Coach Card'!$T$5="",IF($D$1="Team",IF(AH101="","",AH101),""),IF($D$1="Team",IF(AE601="","",AE601),""))</f>
        <v>#N/A</v>
      </c>
      <c r="L102" s="1" t="s">
        <v>1631</v>
      </c>
      <c r="M102" t="s">
        <v>1807</v>
      </c>
      <c r="N102" s="3">
        <v>0.2</v>
      </c>
      <c r="O102" s="1" t="s">
        <v>1631</v>
      </c>
      <c r="P102" t="s">
        <v>1807</v>
      </c>
      <c r="Q102" s="3">
        <v>0.2</v>
      </c>
      <c r="R102" s="1" t="s">
        <v>1631</v>
      </c>
      <c r="S102" t="s">
        <v>1807</v>
      </c>
      <c r="T102" s="3">
        <v>0.2</v>
      </c>
      <c r="U102" s="1" t="s">
        <v>1631</v>
      </c>
      <c r="V102" t="s">
        <v>1807</v>
      </c>
      <c r="W102" s="3">
        <v>0.2</v>
      </c>
      <c r="X102" s="1" t="s">
        <v>1631</v>
      </c>
      <c r="Y102" t="s">
        <v>1807</v>
      </c>
      <c r="Z102" s="3">
        <v>0.2</v>
      </c>
      <c r="AK102" t="s">
        <v>1805</v>
      </c>
      <c r="AL102" t="s">
        <v>1805</v>
      </c>
      <c r="AM102">
        <v>1</v>
      </c>
    </row>
    <row r="103" spans="1:39" x14ac:dyDescent="0.35">
      <c r="A103" s="6" t="e">
        <f>IF('Coach Card'!$T$5="",IF($B$1="Solo",IF(L102="","",L102),IF($B$1="MSolo",IF(O102="","",O102),IF($B$1="Duet",IF(R102="","",R102),IF($B$1="Mixed",IF(U102="","",U102),IF(X102="","",X102))))),IF($B$1="Solo",IF(L602="","",L602),IF($B$1="MSolo",IF(L602="","",L602),IF($B$1="Duet",IF(O602="","",O602),IF($B$1="Mixed",IF(R602="","",R602),IF(U602="","",U602))))))</f>
        <v>#N/A</v>
      </c>
      <c r="B103" s="3" t="e">
        <f>IF('Coach Card'!$T$5="",IF($B$1="Solo",IF(M102="","",M102),IF($B$1="MSolo",IF(P102="","",P102),IF($B$1="Duet",IF(S102="","",S102),IF($B$1="Mixed",IF(V102="","",V102),IF(Y102="","",Y102))))),IF($B$1="Solo",IF(M602="","",M602),IF($B$1="MSolo",IF(M602="","",M602),IF($B$1="Duet",IF(P602="","",P602),IF($B$1="Mixed",IF(S602="","",S602),IF(V602="","",V602))))))</f>
        <v>#N/A</v>
      </c>
      <c r="C103" s="3" t="e">
        <f>IF('Coach Card'!$T$5="",IF($B$1="Solo",IF(N102="","",N102),IF($B$1="MSolo",IF(Q102="","",Q102),IF($B$1="Duet",IF(T102="","",T102),IF($B$1="Mixed",IF(W102="","",W102),IF(Z102="","",Z102))))),IF($B$1="Solo",IF(N602="","",N602),IF($B$1="MSolo",IF(N602="","",N602),IF($B$1="Duet",IF(Q602="","",Q602),IF($B$1="Mixed",IF(T602="","",T602),IF(W602="","",W602))))))</f>
        <v>#N/A</v>
      </c>
      <c r="D103" s="3" t="e">
        <f>IF('Coach Card'!$T$5="",IF($D$1="Team",IF(AG102="","",AG102),""),IF($D$1="Team",IF(AD602="","",AD602),""))</f>
        <v>#N/A</v>
      </c>
      <c r="E103" s="3" t="e">
        <f>IF('Coach Card'!$T$5="",IF($D$1="Team",IF(AH102="","",AH102),""),IF($D$1="Team",IF(AE602="","",AE602),""))</f>
        <v>#N/A</v>
      </c>
      <c r="L103" s="1" t="s">
        <v>1631</v>
      </c>
      <c r="M103" t="s">
        <v>1808</v>
      </c>
      <c r="N103" s="3">
        <v>0.45</v>
      </c>
      <c r="O103" s="1" t="s">
        <v>1631</v>
      </c>
      <c r="P103" t="s">
        <v>1808</v>
      </c>
      <c r="Q103" s="3">
        <v>0.45</v>
      </c>
      <c r="R103" s="1" t="s">
        <v>1631</v>
      </c>
      <c r="S103" t="s">
        <v>1808</v>
      </c>
      <c r="T103" s="3">
        <v>0.45</v>
      </c>
      <c r="U103" s="1" t="s">
        <v>1631</v>
      </c>
      <c r="V103" t="s">
        <v>1808</v>
      </c>
      <c r="W103" s="3">
        <v>0.45</v>
      </c>
      <c r="X103" s="1" t="s">
        <v>1631</v>
      </c>
      <c r="Y103" t="s">
        <v>1808</v>
      </c>
      <c r="Z103" s="3">
        <v>0.45</v>
      </c>
      <c r="AK103" t="s">
        <v>1806</v>
      </c>
      <c r="AL103" t="s">
        <v>1806</v>
      </c>
      <c r="AM103">
        <v>1</v>
      </c>
    </row>
    <row r="104" spans="1:39" x14ac:dyDescent="0.35">
      <c r="A104" s="6" t="e">
        <f>IF('Coach Card'!$T$5="",IF($B$1="Solo",IF(L103="","",L103),IF($B$1="MSolo",IF(O103="","",O103),IF($B$1="Duet",IF(R103="","",R103),IF($B$1="Mixed",IF(U103="","",U103),IF(X103="","",X103))))),IF($B$1="Solo",IF(L603="","",L603),IF($B$1="MSolo",IF(L603="","",L603),IF($B$1="Duet",IF(O603="","",O603),IF($B$1="Mixed",IF(R603="","",R603),IF(U603="","",U603))))))</f>
        <v>#N/A</v>
      </c>
      <c r="B104" s="3" t="e">
        <f>IF('Coach Card'!$T$5="",IF($B$1="Solo",IF(M103="","",M103),IF($B$1="MSolo",IF(P103="","",P103),IF($B$1="Duet",IF(S103="","",S103),IF($B$1="Mixed",IF(V103="","",V103),IF(Y103="","",Y103))))),IF($B$1="Solo",IF(M603="","",M603),IF($B$1="MSolo",IF(M603="","",M603),IF($B$1="Duet",IF(P603="","",P603),IF($B$1="Mixed",IF(S603="","",S603),IF(V603="","",V603))))))</f>
        <v>#N/A</v>
      </c>
      <c r="C104" s="3" t="e">
        <f>IF('Coach Card'!$T$5="",IF($B$1="Solo",IF(N103="","",N103),IF($B$1="MSolo",IF(Q103="","",Q103),IF($B$1="Duet",IF(T103="","",T103),IF($B$1="Mixed",IF(W103="","",W103),IF(Z103="","",Z103))))),IF($B$1="Solo",IF(N603="","",N603),IF($B$1="MSolo",IF(N603="","",N603),IF($B$1="Duet",IF(Q603="","",Q603),IF($B$1="Mixed",IF(T603="","",T603),IF(W603="","",W603))))))</f>
        <v>#N/A</v>
      </c>
      <c r="D104" s="3" t="e">
        <f>IF('Coach Card'!$T$5="",IF($D$1="Team",IF(AG103="","",AG103),""),IF($D$1="Team",IF(AD603="","",AD603),""))</f>
        <v>#N/A</v>
      </c>
      <c r="E104" s="3" t="e">
        <f>IF('Coach Card'!$T$5="",IF($D$1="Team",IF(AH103="","",AH103),""),IF($D$1="Team",IF(AE603="","",AE603),""))</f>
        <v>#N/A</v>
      </c>
      <c r="L104" s="1" t="s">
        <v>1631</v>
      </c>
      <c r="M104" t="s">
        <v>1809</v>
      </c>
      <c r="N104" s="3">
        <v>0.45</v>
      </c>
      <c r="O104" s="1" t="s">
        <v>1631</v>
      </c>
      <c r="P104" t="s">
        <v>1809</v>
      </c>
      <c r="Q104" s="3">
        <v>0.45</v>
      </c>
      <c r="R104" s="1" t="s">
        <v>1631</v>
      </c>
      <c r="S104" t="s">
        <v>1809</v>
      </c>
      <c r="T104" s="3">
        <v>0.45</v>
      </c>
      <c r="U104" s="1" t="s">
        <v>1631</v>
      </c>
      <c r="V104" t="s">
        <v>1809</v>
      </c>
      <c r="W104" s="3">
        <v>0.45</v>
      </c>
      <c r="X104" s="1" t="s">
        <v>1631</v>
      </c>
      <c r="Y104" t="s">
        <v>1809</v>
      </c>
      <c r="Z104" s="3">
        <v>0.45</v>
      </c>
      <c r="AK104" t="s">
        <v>1807</v>
      </c>
      <c r="AL104" t="s">
        <v>1807</v>
      </c>
      <c r="AM104">
        <v>1</v>
      </c>
    </row>
    <row r="105" spans="1:39" x14ac:dyDescent="0.35">
      <c r="A105" s="6" t="e">
        <f>IF('Coach Card'!$T$5="",IF($B$1="Solo",IF(L104="","",L104),IF($B$1="MSolo",IF(O104="","",O104),IF($B$1="Duet",IF(R104="","",R104),IF($B$1="Mixed",IF(U104="","",U104),IF(X104="","",X104))))),IF($B$1="Solo",IF(L604="","",L604),IF($B$1="MSolo",IF(L604="","",L604),IF($B$1="Duet",IF(O604="","",O604),IF($B$1="Mixed",IF(R604="","",R604),IF(U604="","",U604))))))</f>
        <v>#N/A</v>
      </c>
      <c r="B105" s="3" t="e">
        <f>IF('Coach Card'!$T$5="",IF($B$1="Solo",IF(M104="","",M104),IF($B$1="MSolo",IF(P104="","",P104),IF($B$1="Duet",IF(S104="","",S104),IF($B$1="Mixed",IF(V104="","",V104),IF(Y104="","",Y104))))),IF($B$1="Solo",IF(M604="","",M604),IF($B$1="MSolo",IF(M604="","",M604),IF($B$1="Duet",IF(P604="","",P604),IF($B$1="Mixed",IF(S604="","",S604),IF(V604="","",V604))))))</f>
        <v>#N/A</v>
      </c>
      <c r="C105" s="3" t="e">
        <f>IF('Coach Card'!$T$5="",IF($B$1="Solo",IF(N104="","",N104),IF($B$1="MSolo",IF(Q104="","",Q104),IF($B$1="Duet",IF(T104="","",T104),IF($B$1="Mixed",IF(W104="","",W104),IF(Z104="","",Z104))))),IF($B$1="Solo",IF(N604="","",N604),IF($B$1="MSolo",IF(N604="","",N604),IF($B$1="Duet",IF(Q604="","",Q604),IF($B$1="Mixed",IF(T604="","",T604),IF(W604="","",W604))))))</f>
        <v>#N/A</v>
      </c>
      <c r="D105" s="3" t="e">
        <f>IF('Coach Card'!$T$5="",IF($D$1="Team",IF(AG104="","",AG104),""),IF($D$1="Team",IF(AD604="","",AD604),""))</f>
        <v>#N/A</v>
      </c>
      <c r="E105" s="3" t="e">
        <f>IF('Coach Card'!$T$5="",IF($D$1="Team",IF(AH104="","",AH104),""),IF($D$1="Team",IF(AE604="","",AE604),""))</f>
        <v>#N/A</v>
      </c>
      <c r="L105" s="1" t="s">
        <v>1631</v>
      </c>
      <c r="M105" t="s">
        <v>1694</v>
      </c>
      <c r="N105" s="3">
        <v>0.65</v>
      </c>
      <c r="O105" s="1" t="s">
        <v>1631</v>
      </c>
      <c r="P105" t="s">
        <v>1694</v>
      </c>
      <c r="Q105" s="3">
        <v>0.65</v>
      </c>
      <c r="R105" s="1" t="s">
        <v>1631</v>
      </c>
      <c r="S105" t="s">
        <v>1694</v>
      </c>
      <c r="T105" s="3">
        <v>0.65</v>
      </c>
      <c r="U105" s="1" t="s">
        <v>1631</v>
      </c>
      <c r="V105" t="s">
        <v>1694</v>
      </c>
      <c r="W105" s="3">
        <v>0.65</v>
      </c>
      <c r="X105" s="1" t="s">
        <v>1631</v>
      </c>
      <c r="Y105" t="s">
        <v>1694</v>
      </c>
      <c r="Z105" s="3">
        <v>0.65</v>
      </c>
      <c r="AK105" t="s">
        <v>1808</v>
      </c>
      <c r="AL105" t="s">
        <v>1808</v>
      </c>
      <c r="AM105">
        <v>1</v>
      </c>
    </row>
    <row r="106" spans="1:39" x14ac:dyDescent="0.35">
      <c r="A106" s="6" t="e">
        <f>IF('Coach Card'!$T$5="",IF($B$1="Solo",IF(L105="","",L105),IF($B$1="MSolo",IF(O105="","",O105),IF($B$1="Duet",IF(R105="","",R105),IF($B$1="Mixed",IF(U105="","",U105),IF(X105="","",X105))))),IF($B$1="Solo",IF(L605="","",L605),IF($B$1="MSolo",IF(L605="","",L605),IF($B$1="Duet",IF(O605="","",O605),IF($B$1="Mixed",IF(R605="","",R605),IF(U605="","",U605))))))</f>
        <v>#N/A</v>
      </c>
      <c r="B106" s="3" t="e">
        <f>IF('Coach Card'!$T$5="",IF($B$1="Solo",IF(M105="","",M105),IF($B$1="MSolo",IF(P105="","",P105),IF($B$1="Duet",IF(S105="","",S105),IF($B$1="Mixed",IF(V105="","",V105),IF(Y105="","",Y105))))),IF($B$1="Solo",IF(M605="","",M605),IF($B$1="MSolo",IF(M605="","",M605),IF($B$1="Duet",IF(P605="","",P605),IF($B$1="Mixed",IF(S605="","",S605),IF(V605="","",V605))))))</f>
        <v>#N/A</v>
      </c>
      <c r="C106" s="3" t="e">
        <f>IF('Coach Card'!$T$5="",IF($B$1="Solo",IF(N105="","",N105),IF($B$1="MSolo",IF(Q105="","",Q105),IF($B$1="Duet",IF(T105="","",T105),IF($B$1="Mixed",IF(W105="","",W105),IF(Z105="","",Z105))))),IF($B$1="Solo",IF(N605="","",N605),IF($B$1="MSolo",IF(N605="","",N605),IF($B$1="Duet",IF(Q605="","",Q605),IF($B$1="Mixed",IF(T605="","",T605),IF(W605="","",W605))))))</f>
        <v>#N/A</v>
      </c>
      <c r="D106" s="3" t="e">
        <f>IF('Coach Card'!$T$5="",IF($D$1="Team",IF(AG105="","",AG105),""),IF($D$1="Team",IF(AD605="","",AD605),""))</f>
        <v>#N/A</v>
      </c>
      <c r="E106" s="3" t="e">
        <f>IF('Coach Card'!$T$5="",IF($D$1="Team",IF(AH105="","",AH105),""),IF($D$1="Team",IF(AE605="","",AE605),""))</f>
        <v>#N/A</v>
      </c>
      <c r="L106" s="1" t="s">
        <v>1631</v>
      </c>
      <c r="M106" t="s">
        <v>1695</v>
      </c>
      <c r="N106" s="3">
        <v>0.8</v>
      </c>
      <c r="O106" s="1" t="s">
        <v>1631</v>
      </c>
      <c r="P106" t="s">
        <v>1695</v>
      </c>
      <c r="Q106" s="3">
        <v>0.8</v>
      </c>
      <c r="R106" s="1" t="s">
        <v>1631</v>
      </c>
      <c r="S106" t="s">
        <v>1695</v>
      </c>
      <c r="T106" s="3">
        <v>0.8</v>
      </c>
      <c r="U106" s="1" t="s">
        <v>1631</v>
      </c>
      <c r="V106" t="s">
        <v>1695</v>
      </c>
      <c r="W106" s="3">
        <v>0.8</v>
      </c>
      <c r="X106" s="1" t="s">
        <v>1631</v>
      </c>
      <c r="Y106" t="s">
        <v>1695</v>
      </c>
      <c r="Z106" s="3">
        <v>0.8</v>
      </c>
      <c r="AK106" t="s">
        <v>1809</v>
      </c>
      <c r="AL106" t="s">
        <v>1809</v>
      </c>
      <c r="AM106">
        <v>1</v>
      </c>
    </row>
    <row r="107" spans="1:39" x14ac:dyDescent="0.35">
      <c r="A107" s="6" t="e">
        <f>IF('Coach Card'!$T$5="",IF($B$1="Solo",IF(L106="","",L106),IF($B$1="MSolo",IF(O106="","",O106),IF($B$1="Duet",IF(R106="","",R106),IF($B$1="Mixed",IF(U106="","",U106),IF(X106="","",X106))))),IF($B$1="Solo",IF(L606="","",L606),IF($B$1="MSolo",IF(L606="","",L606),IF($B$1="Duet",IF(O606="","",O606),IF($B$1="Mixed",IF(R606="","",R606),IF(U606="","",U606))))))</f>
        <v>#N/A</v>
      </c>
      <c r="B107" s="3" t="e">
        <f>IF('Coach Card'!$T$5="",IF($B$1="Solo",IF(M106="","",M106),IF($B$1="MSolo",IF(P106="","",P106),IF($B$1="Duet",IF(S106="","",S106),IF($B$1="Mixed",IF(V106="","",V106),IF(Y106="","",Y106))))),IF($B$1="Solo",IF(M606="","",M606),IF($B$1="MSolo",IF(M606="","",M606),IF($B$1="Duet",IF(P606="","",P606),IF($B$1="Mixed",IF(S606="","",S606),IF(V606="","",V606))))))</f>
        <v>#N/A</v>
      </c>
      <c r="C107" s="3" t="e">
        <f>IF('Coach Card'!$T$5="",IF($B$1="Solo",IF(N106="","",N106),IF($B$1="MSolo",IF(Q106="","",Q106),IF($B$1="Duet",IF(T106="","",T106),IF($B$1="Mixed",IF(W106="","",W106),IF(Z106="","",Z106))))),IF($B$1="Solo",IF(N606="","",N606),IF($B$1="MSolo",IF(N606="","",N606),IF($B$1="Duet",IF(Q606="","",Q606),IF($B$1="Mixed",IF(T606="","",T606),IF(W606="","",W606))))))</f>
        <v>#N/A</v>
      </c>
      <c r="D107" s="3" t="e">
        <f>IF('Coach Card'!$T$5="",IF($D$1="Team",IF(AG106="","",AG106),""),IF($D$1="Team",IF(AD606="","",AD606),""))</f>
        <v>#N/A</v>
      </c>
      <c r="E107" s="3" t="e">
        <f>IF('Coach Card'!$T$5="",IF($D$1="Team",IF(AH106="","",AH106),""),IF($D$1="Team",IF(AE606="","",AE606),""))</f>
        <v>#N/A</v>
      </c>
      <c r="L107" s="1" t="s">
        <v>1631</v>
      </c>
      <c r="M107" t="s">
        <v>1696</v>
      </c>
      <c r="N107" s="3">
        <v>0.9</v>
      </c>
      <c r="O107" s="1" t="s">
        <v>1631</v>
      </c>
      <c r="P107" t="s">
        <v>1696</v>
      </c>
      <c r="Q107" s="3">
        <v>0.9</v>
      </c>
      <c r="R107" s="1" t="s">
        <v>1631</v>
      </c>
      <c r="S107" t="s">
        <v>1696</v>
      </c>
      <c r="T107" s="3">
        <v>0.9</v>
      </c>
      <c r="U107" s="1" t="s">
        <v>1631</v>
      </c>
      <c r="V107" t="s">
        <v>1696</v>
      </c>
      <c r="W107" s="3">
        <v>0.9</v>
      </c>
      <c r="X107" s="1" t="s">
        <v>1631</v>
      </c>
      <c r="Y107" t="s">
        <v>1696</v>
      </c>
      <c r="Z107" s="3">
        <v>0.9</v>
      </c>
      <c r="AK107" t="s">
        <v>1694</v>
      </c>
      <c r="AL107" t="s">
        <v>1694</v>
      </c>
      <c r="AM107">
        <v>1</v>
      </c>
    </row>
    <row r="108" spans="1:39" x14ac:dyDescent="0.35">
      <c r="A108" s="6" t="e">
        <f>IF('Coach Card'!$T$5="",IF($B$1="Solo",IF(L107="","",L107),IF($B$1="MSolo",IF(O107="","",O107),IF($B$1="Duet",IF(R107="","",R107),IF($B$1="Mixed",IF(U107="","",U107),IF(X107="","",X107))))),IF($B$1="Solo",IF(L607="","",L607),IF($B$1="MSolo",IF(L607="","",L607),IF($B$1="Duet",IF(O607="","",O607),IF($B$1="Mixed",IF(R607="","",R607),IF(U607="","",U607))))))</f>
        <v>#N/A</v>
      </c>
      <c r="B108" s="3" t="e">
        <f>IF('Coach Card'!$T$5="",IF($B$1="Solo",IF(M107="","",M107),IF($B$1="MSolo",IF(P107="","",P107),IF($B$1="Duet",IF(S107="","",S107),IF($B$1="Mixed",IF(V107="","",V107),IF(Y107="","",Y107))))),IF($B$1="Solo",IF(M607="","",M607),IF($B$1="MSolo",IF(M607="","",M607),IF($B$1="Duet",IF(P607="","",P607),IF($B$1="Mixed",IF(S607="","",S607),IF(V607="","",V607))))))</f>
        <v>#N/A</v>
      </c>
      <c r="C108" s="3" t="e">
        <f>IF('Coach Card'!$T$5="",IF($B$1="Solo",IF(N107="","",N107),IF($B$1="MSolo",IF(Q107="","",Q107),IF($B$1="Duet",IF(T107="","",T107),IF($B$1="Mixed",IF(W107="","",W107),IF(Z107="","",Z107))))),IF($B$1="Solo",IF(N607="","",N607),IF($B$1="MSolo",IF(N607="","",N607),IF($B$1="Duet",IF(Q607="","",Q607),IF($B$1="Mixed",IF(T607="","",T607),IF(W607="","",W607))))))</f>
        <v>#N/A</v>
      </c>
      <c r="D108" s="3" t="e">
        <f>IF('Coach Card'!$T$5="",IF($D$1="Team",IF(AG107="","",AG107),""),IF($D$1="Team",IF(AD607="","",AD607),""))</f>
        <v>#N/A</v>
      </c>
      <c r="E108" s="3" t="e">
        <f>IF('Coach Card'!$T$5="",IF($D$1="Team",IF(AH107="","",AH107),""),IF($D$1="Team",IF(AE607="","",AE607),""))</f>
        <v>#N/A</v>
      </c>
      <c r="L108" s="1" t="s">
        <v>1631</v>
      </c>
      <c r="M108" t="s">
        <v>1697</v>
      </c>
      <c r="N108" s="3">
        <v>1.1499999999999999</v>
      </c>
      <c r="O108" s="1" t="s">
        <v>1631</v>
      </c>
      <c r="P108" t="s">
        <v>1697</v>
      </c>
      <c r="Q108" s="3">
        <v>1.1499999999999999</v>
      </c>
      <c r="R108" s="1" t="s">
        <v>1631</v>
      </c>
      <c r="S108" t="s">
        <v>1697</v>
      </c>
      <c r="T108" s="3">
        <v>1.1499999999999999</v>
      </c>
      <c r="U108" s="1" t="s">
        <v>1631</v>
      </c>
      <c r="V108" t="s">
        <v>1697</v>
      </c>
      <c r="W108" s="3">
        <v>1.1499999999999999</v>
      </c>
      <c r="X108" s="1" t="s">
        <v>1631</v>
      </c>
      <c r="Y108" t="s">
        <v>1697</v>
      </c>
      <c r="Z108" s="3">
        <v>1.1499999999999999</v>
      </c>
      <c r="AK108" t="s">
        <v>1695</v>
      </c>
      <c r="AL108" t="s">
        <v>1695</v>
      </c>
      <c r="AM108">
        <v>1</v>
      </c>
    </row>
    <row r="109" spans="1:39" x14ac:dyDescent="0.35">
      <c r="A109" s="6" t="e">
        <f>IF('Coach Card'!$T$5="",IF($B$1="Solo",IF(L108="","",L108),IF($B$1="MSolo",IF(O108="","",O108),IF($B$1="Duet",IF(R108="","",R108),IF($B$1="Mixed",IF(U108="","",U108),IF(X108="","",X108))))),IF($B$1="Solo",IF(L608="","",L608),IF($B$1="MSolo",IF(L608="","",L608),IF($B$1="Duet",IF(O608="","",O608),IF($B$1="Mixed",IF(R608="","",R608),IF(U608="","",U608))))))</f>
        <v>#N/A</v>
      </c>
      <c r="B109" s="3" t="e">
        <f>IF('Coach Card'!$T$5="",IF($B$1="Solo",IF(M108="","",M108),IF($B$1="MSolo",IF(P108="","",P108),IF($B$1="Duet",IF(S108="","",S108),IF($B$1="Mixed",IF(V108="","",V108),IF(Y108="","",Y108))))),IF($B$1="Solo",IF(M608="","",M608),IF($B$1="MSolo",IF(M608="","",M608),IF($B$1="Duet",IF(P608="","",P608),IF($B$1="Mixed",IF(S608="","",S608),IF(V608="","",V608))))))</f>
        <v>#N/A</v>
      </c>
      <c r="C109" s="3" t="e">
        <f>IF('Coach Card'!$T$5="",IF($B$1="Solo",IF(N108="","",N108),IF($B$1="MSolo",IF(Q108="","",Q108),IF($B$1="Duet",IF(T108="","",T108),IF($B$1="Mixed",IF(W108="","",W108),IF(Z108="","",Z108))))),IF($B$1="Solo",IF(N608="","",N608),IF($B$1="MSolo",IF(N608="","",N608),IF($B$1="Duet",IF(Q608="","",Q608),IF($B$1="Mixed",IF(T608="","",T608),IF(W608="","",W608))))))</f>
        <v>#N/A</v>
      </c>
      <c r="D109" s="3" t="e">
        <f>IF('Coach Card'!$T$5="",IF($D$1="Team",IF(AG108="","",AG108),""),IF($D$1="Team",IF(AD608="","",AD608),""))</f>
        <v>#N/A</v>
      </c>
      <c r="E109" s="3" t="e">
        <f>IF('Coach Card'!$T$5="",IF($D$1="Team",IF(AH108="","",AH108),""),IF($D$1="Team",IF(AE608="","",AE608),""))</f>
        <v>#N/A</v>
      </c>
      <c r="L109" s="1" t="s">
        <v>1631</v>
      </c>
      <c r="M109" t="s">
        <v>2454</v>
      </c>
      <c r="N109" s="3">
        <v>1.45</v>
      </c>
      <c r="O109" s="1" t="s">
        <v>1631</v>
      </c>
      <c r="P109" t="s">
        <v>2454</v>
      </c>
      <c r="Q109" s="3">
        <v>1.45</v>
      </c>
      <c r="R109" s="1" t="s">
        <v>1631</v>
      </c>
      <c r="S109" t="s">
        <v>2454</v>
      </c>
      <c r="T109" s="3">
        <v>1.45</v>
      </c>
      <c r="U109" s="1" t="s">
        <v>1631</v>
      </c>
      <c r="V109" t="s">
        <v>2454</v>
      </c>
      <c r="W109" s="3">
        <v>1.45</v>
      </c>
      <c r="X109" s="1" t="s">
        <v>1631</v>
      </c>
      <c r="Y109" t="s">
        <v>2454</v>
      </c>
      <c r="Z109" s="3">
        <v>1.45</v>
      </c>
      <c r="AK109" t="s">
        <v>1696</v>
      </c>
      <c r="AL109" t="s">
        <v>1696</v>
      </c>
      <c r="AM109">
        <v>1</v>
      </c>
    </row>
    <row r="110" spans="1:39" x14ac:dyDescent="0.35">
      <c r="A110" s="6" t="e">
        <f>IF('Coach Card'!$T$5="",IF($B$1="Solo",IF(L109="","",L109),IF($B$1="MSolo",IF(O109="","",O109),IF($B$1="Duet",IF(R109="","",R109),IF($B$1="Mixed",IF(U109="","",U109),IF(X109="","",X109))))),IF($B$1="Solo",IF(L609="","",L609),IF($B$1="MSolo",IF(L609="","",L609),IF($B$1="Duet",IF(O609="","",O609),IF($B$1="Mixed",IF(R609="","",R609),IF(U609="","",U609))))))</f>
        <v>#N/A</v>
      </c>
      <c r="B110" s="3" t="e">
        <f>IF('Coach Card'!$T$5="",IF($B$1="Solo",IF(M109="","",M109),IF($B$1="MSolo",IF(P109="","",P109),IF($B$1="Duet",IF(S109="","",S109),IF($B$1="Mixed",IF(V109="","",V109),IF(Y109="","",Y109))))),IF($B$1="Solo",IF(M609="","",M609),IF($B$1="MSolo",IF(M609="","",M609),IF($B$1="Duet",IF(P609="","",P609),IF($B$1="Mixed",IF(S609="","",S609),IF(V609="","",V609))))))</f>
        <v>#N/A</v>
      </c>
      <c r="C110" s="3" t="e">
        <f>IF('Coach Card'!$T$5="",IF($B$1="Solo",IF(N109="","",N109),IF($B$1="MSolo",IF(Q109="","",Q109),IF($B$1="Duet",IF(T109="","",T109),IF($B$1="Mixed",IF(W109="","",W109),IF(Z109="","",Z109))))),IF($B$1="Solo",IF(N609="","",N609),IF($B$1="MSolo",IF(N609="","",N609),IF($B$1="Duet",IF(Q609="","",Q609),IF($B$1="Mixed",IF(T609="","",T609),IF(W609="","",W609))))))</f>
        <v>#N/A</v>
      </c>
      <c r="D110" s="3" t="e">
        <f>IF('Coach Card'!$T$5="",IF($D$1="Team",IF(AG109="","",AG109),""),IF($D$1="Team",IF(AD609="","",AD609),""))</f>
        <v>#N/A</v>
      </c>
      <c r="E110" s="3" t="e">
        <f>IF('Coach Card'!$T$5="",IF($D$1="Team",IF(AH109="","",AH109),""),IF($D$1="Team",IF(AE609="","",AE609),""))</f>
        <v>#N/A</v>
      </c>
      <c r="L110" s="1" t="s">
        <v>1631</v>
      </c>
      <c r="M110" t="s">
        <v>2455</v>
      </c>
      <c r="N110" s="3">
        <v>1.65</v>
      </c>
      <c r="O110" s="1" t="s">
        <v>1631</v>
      </c>
      <c r="P110" t="s">
        <v>2455</v>
      </c>
      <c r="Q110" s="3">
        <v>1.65</v>
      </c>
      <c r="R110" s="1" t="s">
        <v>1631</v>
      </c>
      <c r="S110" t="s">
        <v>2455</v>
      </c>
      <c r="T110" s="3">
        <v>1.65</v>
      </c>
      <c r="U110" s="1" t="s">
        <v>1631</v>
      </c>
      <c r="V110" t="s">
        <v>2455</v>
      </c>
      <c r="W110" s="3">
        <v>1.65</v>
      </c>
      <c r="X110" s="1" t="s">
        <v>1631</v>
      </c>
      <c r="Y110" t="s">
        <v>2455</v>
      </c>
      <c r="Z110" s="3">
        <v>1.65</v>
      </c>
      <c r="AK110" t="s">
        <v>1697</v>
      </c>
      <c r="AL110" t="s">
        <v>1697</v>
      </c>
      <c r="AM110">
        <v>1</v>
      </c>
    </row>
    <row r="111" spans="1:39" x14ac:dyDescent="0.35">
      <c r="A111" s="6" t="e">
        <f>IF('Coach Card'!$T$5="",IF($B$1="Solo",IF(L110="","",L110),IF($B$1="MSolo",IF(O110="","",O110),IF($B$1="Duet",IF(R110="","",R110),IF($B$1="Mixed",IF(U110="","",U110),IF(X110="","",X110))))),IF($B$1="Solo",IF(L610="","",L610),IF($B$1="MSolo",IF(L610="","",L610),IF($B$1="Duet",IF(O610="","",O610),IF($B$1="Mixed",IF(R610="","",R610),IF(U610="","",U610))))))</f>
        <v>#N/A</v>
      </c>
      <c r="B111" s="3" t="e">
        <f>IF('Coach Card'!$T$5="",IF($B$1="Solo",IF(M110="","",M110),IF($B$1="MSolo",IF(P110="","",P110),IF($B$1="Duet",IF(S110="","",S110),IF($B$1="Mixed",IF(V110="","",V110),IF(Y110="","",Y110))))),IF($B$1="Solo",IF(M610="","",M610),IF($B$1="MSolo",IF(M610="","",M610),IF($B$1="Duet",IF(P610="","",P610),IF($B$1="Mixed",IF(S610="","",S610),IF(V610="","",V610))))))</f>
        <v>#N/A</v>
      </c>
      <c r="C111" s="3" t="e">
        <f>IF('Coach Card'!$T$5="",IF($B$1="Solo",IF(N110="","",N110),IF($B$1="MSolo",IF(Q110="","",Q110),IF($B$1="Duet",IF(T110="","",T110),IF($B$1="Mixed",IF(W110="","",W110),IF(Z110="","",Z110))))),IF($B$1="Solo",IF(N610="","",N610),IF($B$1="MSolo",IF(N610="","",N610),IF($B$1="Duet",IF(Q610="","",Q610),IF($B$1="Mixed",IF(T610="","",T610),IF(W610="","",W610))))))</f>
        <v>#N/A</v>
      </c>
      <c r="D111" s="3" t="e">
        <f>IF('Coach Card'!$T$5="",IF($D$1="Team",IF(AG110="","",AG110),""),IF($D$1="Team",IF(AD610="","",AD610),""))</f>
        <v>#N/A</v>
      </c>
      <c r="E111" s="3" t="e">
        <f>IF('Coach Card'!$T$5="",IF($D$1="Team",IF(AH110="","",AH110),""),IF($D$1="Team",IF(AE610="","",AE610),""))</f>
        <v>#N/A</v>
      </c>
      <c r="L111" s="1" t="s">
        <v>624</v>
      </c>
      <c r="M111" t="s">
        <v>1698</v>
      </c>
      <c r="N111" s="3">
        <v>0.05</v>
      </c>
      <c r="O111" s="1" t="s">
        <v>624</v>
      </c>
      <c r="P111" t="s">
        <v>1698</v>
      </c>
      <c r="Q111" s="3">
        <v>0.05</v>
      </c>
      <c r="R111" s="1" t="s">
        <v>624</v>
      </c>
      <c r="S111" t="s">
        <v>1698</v>
      </c>
      <c r="T111" s="3">
        <v>0.05</v>
      </c>
      <c r="U111" s="1" t="s">
        <v>624</v>
      </c>
      <c r="V111" t="s">
        <v>1698</v>
      </c>
      <c r="W111" s="3">
        <v>0.05</v>
      </c>
      <c r="X111" s="1" t="s">
        <v>624</v>
      </c>
      <c r="Y111" t="s">
        <v>1698</v>
      </c>
      <c r="Z111" s="3">
        <v>0.05</v>
      </c>
      <c r="AK111" t="s">
        <v>2454</v>
      </c>
      <c r="AL111" t="s">
        <v>2454</v>
      </c>
      <c r="AM111">
        <v>1</v>
      </c>
    </row>
    <row r="112" spans="1:39" x14ac:dyDescent="0.35">
      <c r="A112" s="6" t="e">
        <f>IF('Coach Card'!$T$5="",IF($B$1="Solo",IF(L111="","",L111),IF($B$1="MSolo",IF(O111="","",O111),IF($B$1="Duet",IF(R111="","",R111),IF($B$1="Mixed",IF(U111="","",U111),IF(X111="","",X111))))),IF($B$1="Solo",IF(L611="","",L611),IF($B$1="MSolo",IF(L611="","",L611),IF($B$1="Duet",IF(O611="","",O611),IF($B$1="Mixed",IF(R611="","",R611),IF(U611="","",U611))))))</f>
        <v>#N/A</v>
      </c>
      <c r="B112" s="3" t="e">
        <f>IF('Coach Card'!$T$5="",IF($B$1="Solo",IF(M111="","",M111),IF($B$1="MSolo",IF(P111="","",P111),IF($B$1="Duet",IF(S111="","",S111),IF($B$1="Mixed",IF(V111="","",V111),IF(Y111="","",Y111))))),IF($B$1="Solo",IF(M611="","",M611),IF($B$1="MSolo",IF(M611="","",M611),IF($B$1="Duet",IF(P611="","",P611),IF($B$1="Mixed",IF(S611="","",S611),IF(V611="","",V611))))))</f>
        <v>#N/A</v>
      </c>
      <c r="C112" s="3" t="e">
        <f>IF('Coach Card'!$T$5="",IF($B$1="Solo",IF(N111="","",N111),IF($B$1="MSolo",IF(Q111="","",Q111),IF($B$1="Duet",IF(T111="","",T111),IF($B$1="Mixed",IF(W111="","",W111),IF(Z111="","",Z111))))),IF($B$1="Solo",IF(N611="","",N611),IF($B$1="MSolo",IF(N611="","",N611),IF($B$1="Duet",IF(Q611="","",Q611),IF($B$1="Mixed",IF(T611="","",T611),IF(W611="","",W611))))))</f>
        <v>#N/A</v>
      </c>
      <c r="D112" s="3" t="e">
        <f>IF('Coach Card'!$T$5="",IF($D$1="Team",IF(AG111="","",AG111),""),IF($D$1="Team",IF(AD611="","",AD611),""))</f>
        <v>#N/A</v>
      </c>
      <c r="E112" s="3" t="e">
        <f>IF('Coach Card'!$T$5="",IF($D$1="Team",IF(AH111="","",AH111),""),IF($D$1="Team",IF(AE611="","",AE611),""))</f>
        <v>#N/A</v>
      </c>
      <c r="L112" s="1" t="s">
        <v>624</v>
      </c>
      <c r="M112" t="s">
        <v>1810</v>
      </c>
      <c r="N112" s="3">
        <v>0.1</v>
      </c>
      <c r="O112" s="1" t="s">
        <v>624</v>
      </c>
      <c r="P112" t="s">
        <v>1810</v>
      </c>
      <c r="Q112" s="3">
        <v>0.1</v>
      </c>
      <c r="R112" s="1" t="s">
        <v>624</v>
      </c>
      <c r="S112" t="s">
        <v>1810</v>
      </c>
      <c r="T112" s="3">
        <v>0.1</v>
      </c>
      <c r="U112" s="1" t="s">
        <v>624</v>
      </c>
      <c r="V112" t="s">
        <v>1810</v>
      </c>
      <c r="W112" s="3">
        <v>0.1</v>
      </c>
      <c r="X112" s="1" t="s">
        <v>624</v>
      </c>
      <c r="Y112" t="s">
        <v>1810</v>
      </c>
      <c r="Z112" s="3">
        <v>0.1</v>
      </c>
      <c r="AK112" t="s">
        <v>2455</v>
      </c>
      <c r="AL112" t="s">
        <v>2455</v>
      </c>
      <c r="AM112">
        <v>1</v>
      </c>
    </row>
    <row r="113" spans="1:39" x14ac:dyDescent="0.35">
      <c r="A113" s="6" t="e">
        <f>IF('Coach Card'!$T$5="",IF($B$1="Solo",IF(L112="","",L112),IF($B$1="MSolo",IF(O112="","",O112),IF($B$1="Duet",IF(R112="","",R112),IF($B$1="Mixed",IF(U112="","",U112),IF(X112="","",X112))))),IF($B$1="Solo",IF(L612="","",L612),IF($B$1="MSolo",IF(L612="","",L612),IF($B$1="Duet",IF(O612="","",O612),IF($B$1="Mixed",IF(R612="","",R612),IF(U612="","",U612))))))</f>
        <v>#N/A</v>
      </c>
      <c r="B113" s="3" t="e">
        <f>IF('Coach Card'!$T$5="",IF($B$1="Solo",IF(M112="","",M112),IF($B$1="MSolo",IF(P112="","",P112),IF($B$1="Duet",IF(S112="","",S112),IF($B$1="Mixed",IF(V112="","",V112),IF(Y112="","",Y112))))),IF($B$1="Solo",IF(M612="","",M612),IF($B$1="MSolo",IF(M612="","",M612),IF($B$1="Duet",IF(P612="","",P612),IF($B$1="Mixed",IF(S612="","",S612),IF(V612="","",V612))))))</f>
        <v>#N/A</v>
      </c>
      <c r="C113" s="3" t="e">
        <f>IF('Coach Card'!$T$5="",IF($B$1="Solo",IF(N112="","",N112),IF($B$1="MSolo",IF(Q112="","",Q112),IF($B$1="Duet",IF(T112="","",T112),IF($B$1="Mixed",IF(W112="","",W112),IF(Z112="","",Z112))))),IF($B$1="Solo",IF(N612="","",N612),IF($B$1="MSolo",IF(N612="","",N612),IF($B$1="Duet",IF(Q612="","",Q612),IF($B$1="Mixed",IF(T612="","",T612),IF(W612="","",W612))))))</f>
        <v>#N/A</v>
      </c>
      <c r="D113" s="3" t="e">
        <f>IF('Coach Card'!$T$5="",IF($D$1="Team",IF(AG112="","",AG112),""),IF($D$1="Team",IF(AD612="","",AD612),""))</f>
        <v>#N/A</v>
      </c>
      <c r="E113" s="3" t="e">
        <f>IF('Coach Card'!$T$5="",IF($D$1="Team",IF(AH112="","",AH112),""),IF($D$1="Team",IF(AE612="","",AE612),""))</f>
        <v>#N/A</v>
      </c>
      <c r="L113" s="1" t="s">
        <v>624</v>
      </c>
      <c r="M113" t="s">
        <v>1811</v>
      </c>
      <c r="N113" s="3">
        <v>0.1</v>
      </c>
      <c r="O113" s="1" t="s">
        <v>624</v>
      </c>
      <c r="P113" t="s">
        <v>1811</v>
      </c>
      <c r="Q113" s="3">
        <v>0.1</v>
      </c>
      <c r="R113" s="1" t="s">
        <v>624</v>
      </c>
      <c r="S113" t="s">
        <v>1811</v>
      </c>
      <c r="T113" s="3">
        <v>0.1</v>
      </c>
      <c r="U113" s="1" t="s">
        <v>624</v>
      </c>
      <c r="V113" t="s">
        <v>1811</v>
      </c>
      <c r="W113" s="3">
        <v>0.1</v>
      </c>
      <c r="X113" s="1" t="s">
        <v>624</v>
      </c>
      <c r="Y113" t="s">
        <v>1811</v>
      </c>
      <c r="Z113" s="3">
        <v>0.1</v>
      </c>
      <c r="AK113" t="s">
        <v>1698</v>
      </c>
      <c r="AL113" t="s">
        <v>1698</v>
      </c>
      <c r="AM113">
        <v>1</v>
      </c>
    </row>
    <row r="114" spans="1:39" x14ac:dyDescent="0.35">
      <c r="A114" s="6" t="e">
        <f>IF('Coach Card'!$T$5="",IF($B$1="Solo",IF(L113="","",L113),IF($B$1="MSolo",IF(O113="","",O113),IF($B$1="Duet",IF(R113="","",R113),IF($B$1="Mixed",IF(U113="","",U113),IF(X113="","",X113))))),IF($B$1="Solo",IF(L613="","",L613),IF($B$1="MSolo",IF(L613="","",L613),IF($B$1="Duet",IF(O613="","",O613),IF($B$1="Mixed",IF(R613="","",R613),IF(U613="","",U613))))))</f>
        <v>#N/A</v>
      </c>
      <c r="B114" s="3" t="e">
        <f>IF('Coach Card'!$T$5="",IF($B$1="Solo",IF(M113="","",M113),IF($B$1="MSolo",IF(P113="","",P113),IF($B$1="Duet",IF(S113="","",S113),IF($B$1="Mixed",IF(V113="","",V113),IF(Y113="","",Y113))))),IF($B$1="Solo",IF(M613="","",M613),IF($B$1="MSolo",IF(M613="","",M613),IF($B$1="Duet",IF(P613="","",P613),IF($B$1="Mixed",IF(S613="","",S613),IF(V613="","",V613))))))</f>
        <v>#N/A</v>
      </c>
      <c r="C114" s="3" t="e">
        <f>IF('Coach Card'!$T$5="",IF($B$1="Solo",IF(N113="","",N113),IF($B$1="MSolo",IF(Q113="","",Q113),IF($B$1="Duet",IF(T113="","",T113),IF($B$1="Mixed",IF(W113="","",W113),IF(Z113="","",Z113))))),IF($B$1="Solo",IF(N613="","",N613),IF($B$1="MSolo",IF(N613="","",N613),IF($B$1="Duet",IF(Q613="","",Q613),IF($B$1="Mixed",IF(T613="","",T613),IF(W613="","",W613))))))</f>
        <v>#N/A</v>
      </c>
      <c r="D114" s="3" t="e">
        <f>IF('Coach Card'!$T$5="",IF($D$1="Team",IF(AG113="","",AG113),""),IF($D$1="Team",IF(AD613="","",AD613),""))</f>
        <v>#N/A</v>
      </c>
      <c r="E114" s="3" t="e">
        <f>IF('Coach Card'!$T$5="",IF($D$1="Team",IF(AH113="","",AH113),""),IF($D$1="Team",IF(AE613="","",AE613),""))</f>
        <v>#N/A</v>
      </c>
      <c r="L114" s="1" t="s">
        <v>624</v>
      </c>
      <c r="M114" t="s">
        <v>1812</v>
      </c>
      <c r="N114" s="3">
        <v>0.1</v>
      </c>
      <c r="O114" s="1" t="s">
        <v>624</v>
      </c>
      <c r="P114" t="s">
        <v>1812</v>
      </c>
      <c r="Q114" s="3">
        <v>0.1</v>
      </c>
      <c r="R114" s="1" t="s">
        <v>624</v>
      </c>
      <c r="S114" t="s">
        <v>1812</v>
      </c>
      <c r="T114" s="3">
        <v>0.1</v>
      </c>
      <c r="U114" s="1" t="s">
        <v>624</v>
      </c>
      <c r="V114" t="s">
        <v>1812</v>
      </c>
      <c r="W114" s="3">
        <v>0.1</v>
      </c>
      <c r="X114" s="1" t="s">
        <v>624</v>
      </c>
      <c r="Y114" t="s">
        <v>1812</v>
      </c>
      <c r="Z114" s="3">
        <v>0.1</v>
      </c>
      <c r="AK114" t="s">
        <v>1810</v>
      </c>
      <c r="AL114" t="s">
        <v>1810</v>
      </c>
      <c r="AM114">
        <v>1</v>
      </c>
    </row>
    <row r="115" spans="1:39" x14ac:dyDescent="0.35">
      <c r="A115" s="6" t="e">
        <f>IF('Coach Card'!$T$5="",IF($B$1="Solo",IF(L114="","",L114),IF($B$1="MSolo",IF(O114="","",O114),IF($B$1="Duet",IF(R114="","",R114),IF($B$1="Mixed",IF(U114="","",U114),IF(X114="","",X114))))),IF($B$1="Solo",IF(L614="","",L614),IF($B$1="MSolo",IF(L614="","",L614),IF($B$1="Duet",IF(O614="","",O614),IF($B$1="Mixed",IF(R614="","",R614),IF(U614="","",U614))))))</f>
        <v>#N/A</v>
      </c>
      <c r="B115" s="3" t="e">
        <f>IF('Coach Card'!$T$5="",IF($B$1="Solo",IF(M114="","",M114),IF($B$1="MSolo",IF(P114="","",P114),IF($B$1="Duet",IF(S114="","",S114),IF($B$1="Mixed",IF(V114="","",V114),IF(Y114="","",Y114))))),IF($B$1="Solo",IF(M614="","",M614),IF($B$1="MSolo",IF(M614="","",M614),IF($B$1="Duet",IF(P614="","",P614),IF($B$1="Mixed",IF(S614="","",S614),IF(V614="","",V614))))))</f>
        <v>#N/A</v>
      </c>
      <c r="C115" s="3" t="e">
        <f>IF('Coach Card'!$T$5="",IF($B$1="Solo",IF(N114="","",N114),IF($B$1="MSolo",IF(Q114="","",Q114),IF($B$1="Duet",IF(T114="","",T114),IF($B$1="Mixed",IF(W114="","",W114),IF(Z114="","",Z114))))),IF($B$1="Solo",IF(N614="","",N614),IF($B$1="MSolo",IF(N614="","",N614),IF($B$1="Duet",IF(Q614="","",Q614),IF($B$1="Mixed",IF(T614="","",T614),IF(W614="","",W614))))))</f>
        <v>#N/A</v>
      </c>
      <c r="D115" s="3" t="e">
        <f>IF('Coach Card'!$T$5="",IF($D$1="Team",IF(AG114="","",AG114),""),IF($D$1="Team",IF(AD614="","",AD614),""))</f>
        <v>#N/A</v>
      </c>
      <c r="E115" s="3" t="e">
        <f>IF('Coach Card'!$T$5="",IF($D$1="Team",IF(AH114="","",AH114),""),IF($D$1="Team",IF(AE614="","",AE614),""))</f>
        <v>#N/A</v>
      </c>
      <c r="L115" s="1" t="s">
        <v>624</v>
      </c>
      <c r="M115" t="s">
        <v>1813</v>
      </c>
      <c r="N115" s="3">
        <v>0.2</v>
      </c>
      <c r="O115" s="1" t="s">
        <v>624</v>
      </c>
      <c r="P115" t="s">
        <v>1813</v>
      </c>
      <c r="Q115" s="3">
        <v>0.2</v>
      </c>
      <c r="R115" s="1" t="s">
        <v>624</v>
      </c>
      <c r="S115" t="s">
        <v>1813</v>
      </c>
      <c r="T115" s="3">
        <v>0.2</v>
      </c>
      <c r="U115" s="1" t="s">
        <v>624</v>
      </c>
      <c r="V115" t="s">
        <v>1813</v>
      </c>
      <c r="W115" s="3">
        <v>0.2</v>
      </c>
      <c r="X115" s="1" t="s">
        <v>624</v>
      </c>
      <c r="Y115" t="s">
        <v>1813</v>
      </c>
      <c r="Z115" s="3">
        <v>0.2</v>
      </c>
      <c r="AK115" t="s">
        <v>1811</v>
      </c>
      <c r="AL115" t="s">
        <v>1811</v>
      </c>
      <c r="AM115">
        <v>1</v>
      </c>
    </row>
    <row r="116" spans="1:39" x14ac:dyDescent="0.35">
      <c r="A116" s="6" t="e">
        <f>IF('Coach Card'!$T$5="",IF($B$1="Solo",IF(L115="","",L115),IF($B$1="MSolo",IF(O115="","",O115),IF($B$1="Duet",IF(R115="","",R115),IF($B$1="Mixed",IF(U115="","",U115),IF(X115="","",X115))))),IF($B$1="Solo",IF(L615="","",L615),IF($B$1="MSolo",IF(L615="","",L615),IF($B$1="Duet",IF(O615="","",O615),IF($B$1="Mixed",IF(R615="","",R615),IF(U615="","",U615))))))</f>
        <v>#N/A</v>
      </c>
      <c r="B116" s="3" t="e">
        <f>IF('Coach Card'!$T$5="",IF($B$1="Solo",IF(M115="","",M115),IF($B$1="MSolo",IF(P115="","",P115),IF($B$1="Duet",IF(S115="","",S115),IF($B$1="Mixed",IF(V115="","",V115),IF(Y115="","",Y115))))),IF($B$1="Solo",IF(M615="","",M615),IF($B$1="MSolo",IF(M615="","",M615),IF($B$1="Duet",IF(P615="","",P615),IF($B$1="Mixed",IF(S615="","",S615),IF(V615="","",V615))))))</f>
        <v>#N/A</v>
      </c>
      <c r="C116" s="3" t="e">
        <f>IF('Coach Card'!$T$5="",IF($B$1="Solo",IF(N115="","",N115),IF($B$1="MSolo",IF(Q115="","",Q115),IF($B$1="Duet",IF(T115="","",T115),IF($B$1="Mixed",IF(W115="","",W115),IF(Z115="","",Z115))))),IF($B$1="Solo",IF(N615="","",N615),IF($B$1="MSolo",IF(N615="","",N615),IF($B$1="Duet",IF(Q615="","",Q615),IF($B$1="Mixed",IF(T615="","",T615),IF(W615="","",W615))))))</f>
        <v>#N/A</v>
      </c>
      <c r="D116" s="3" t="e">
        <f>IF('Coach Card'!$T$5="",IF($D$1="Team",IF(AG115="","",AG115),""),IF($D$1="Team",IF(AD615="","",AD615),""))</f>
        <v>#N/A</v>
      </c>
      <c r="E116" s="3" t="e">
        <f>IF('Coach Card'!$T$5="",IF($D$1="Team",IF(AH115="","",AH115),""),IF($D$1="Team",IF(AE615="","",AE615),""))</f>
        <v>#N/A</v>
      </c>
      <c r="L116" s="1" t="s">
        <v>624</v>
      </c>
      <c r="M116" t="s">
        <v>1814</v>
      </c>
      <c r="N116" s="3">
        <v>0.2</v>
      </c>
      <c r="O116" s="1" t="s">
        <v>624</v>
      </c>
      <c r="P116" t="s">
        <v>1814</v>
      </c>
      <c r="Q116" s="3">
        <v>0.2</v>
      </c>
      <c r="R116" s="1" t="s">
        <v>624</v>
      </c>
      <c r="S116" t="s">
        <v>1814</v>
      </c>
      <c r="T116" s="3">
        <v>0.2</v>
      </c>
      <c r="U116" s="1" t="s">
        <v>624</v>
      </c>
      <c r="V116" t="s">
        <v>1814</v>
      </c>
      <c r="W116" s="3">
        <v>0.2</v>
      </c>
      <c r="X116" s="1" t="s">
        <v>624</v>
      </c>
      <c r="Y116" t="s">
        <v>1814</v>
      </c>
      <c r="Z116" s="3">
        <v>0.2</v>
      </c>
      <c r="AK116" t="s">
        <v>1812</v>
      </c>
      <c r="AL116" t="s">
        <v>1812</v>
      </c>
      <c r="AM116">
        <v>1</v>
      </c>
    </row>
    <row r="117" spans="1:39" x14ac:dyDescent="0.35">
      <c r="A117" s="6" t="e">
        <f>IF('Coach Card'!$T$5="",IF($B$1="Solo",IF(L116="","",L116),IF($B$1="MSolo",IF(O116="","",O116),IF($B$1="Duet",IF(R116="","",R116),IF($B$1="Mixed",IF(U116="","",U116),IF(X116="","",X116))))),IF($B$1="Solo",IF(L616="","",L616),IF($B$1="MSolo",IF(L616="","",L616),IF($B$1="Duet",IF(O616="","",O616),IF($B$1="Mixed",IF(R616="","",R616),IF(U616="","",U616))))))</f>
        <v>#N/A</v>
      </c>
      <c r="B117" s="3" t="e">
        <f>IF('Coach Card'!$T$5="",IF($B$1="Solo",IF(M116="","",M116),IF($B$1="MSolo",IF(P116="","",P116),IF($B$1="Duet",IF(S116="","",S116),IF($B$1="Mixed",IF(V116="","",V116),IF(Y116="","",Y116))))),IF($B$1="Solo",IF(M616="","",M616),IF($B$1="MSolo",IF(M616="","",M616),IF($B$1="Duet",IF(P616="","",P616),IF($B$1="Mixed",IF(S616="","",S616),IF(V616="","",V616))))))</f>
        <v>#N/A</v>
      </c>
      <c r="C117" s="3" t="e">
        <f>IF('Coach Card'!$T$5="",IF($B$1="Solo",IF(N116="","",N116),IF($B$1="MSolo",IF(Q116="","",Q116),IF($B$1="Duet",IF(T116="","",T116),IF($B$1="Mixed",IF(W116="","",W116),IF(Z116="","",Z116))))),IF($B$1="Solo",IF(N616="","",N616),IF($B$1="MSolo",IF(N616="","",N616),IF($B$1="Duet",IF(Q616="","",Q616),IF($B$1="Mixed",IF(T616="","",T616),IF(W616="","",W616))))))</f>
        <v>#N/A</v>
      </c>
      <c r="D117" s="3" t="e">
        <f>IF('Coach Card'!$T$5="",IF($D$1="Team",IF(AG116="","",AG116),""),IF($D$1="Team",IF(AD616="","",AD616),""))</f>
        <v>#N/A</v>
      </c>
      <c r="E117" s="3" t="e">
        <f>IF('Coach Card'!$T$5="",IF($D$1="Team",IF(AH116="","",AH116),""),IF($D$1="Team",IF(AE616="","",AE616),""))</f>
        <v>#N/A</v>
      </c>
      <c r="L117" s="1" t="s">
        <v>624</v>
      </c>
      <c r="M117" t="s">
        <v>1815</v>
      </c>
      <c r="N117" s="3">
        <v>0.2</v>
      </c>
      <c r="O117" s="1" t="s">
        <v>624</v>
      </c>
      <c r="P117" t="s">
        <v>1815</v>
      </c>
      <c r="Q117" s="3">
        <v>0.2</v>
      </c>
      <c r="R117" s="1" t="s">
        <v>624</v>
      </c>
      <c r="S117" t="s">
        <v>1815</v>
      </c>
      <c r="T117" s="3">
        <v>0.2</v>
      </c>
      <c r="U117" s="1" t="s">
        <v>624</v>
      </c>
      <c r="V117" t="s">
        <v>1815</v>
      </c>
      <c r="W117" s="3">
        <v>0.2</v>
      </c>
      <c r="X117" s="1" t="s">
        <v>624</v>
      </c>
      <c r="Y117" t="s">
        <v>1815</v>
      </c>
      <c r="Z117" s="3">
        <v>0.2</v>
      </c>
      <c r="AK117" t="s">
        <v>1813</v>
      </c>
      <c r="AL117" t="s">
        <v>1813</v>
      </c>
      <c r="AM117">
        <v>1</v>
      </c>
    </row>
    <row r="118" spans="1:39" x14ac:dyDescent="0.35">
      <c r="A118" s="6" t="e">
        <f>IF('Coach Card'!$T$5="",IF($B$1="Solo",IF(L117="","",L117),IF($B$1="MSolo",IF(O117="","",O117),IF($B$1="Duet",IF(R117="","",R117),IF($B$1="Mixed",IF(U117="","",U117),IF(X117="","",X117))))),IF($B$1="Solo",IF(L617="","",L617),IF($B$1="MSolo",IF(L617="","",L617),IF($B$1="Duet",IF(O617="","",O617),IF($B$1="Mixed",IF(R617="","",R617),IF(U617="","",U617))))))</f>
        <v>#N/A</v>
      </c>
      <c r="B118" s="3" t="e">
        <f>IF('Coach Card'!$T$5="",IF($B$1="Solo",IF(M117="","",M117),IF($B$1="MSolo",IF(P117="","",P117),IF($B$1="Duet",IF(S117="","",S117),IF($B$1="Mixed",IF(V117="","",V117),IF(Y117="","",Y117))))),IF($B$1="Solo",IF(M617="","",M617),IF($B$1="MSolo",IF(M617="","",M617),IF($B$1="Duet",IF(P617="","",P617),IF($B$1="Mixed",IF(S617="","",S617),IF(V617="","",V617))))))</f>
        <v>#N/A</v>
      </c>
      <c r="C118" s="3" t="e">
        <f>IF('Coach Card'!$T$5="",IF($B$1="Solo",IF(N117="","",N117),IF($B$1="MSolo",IF(Q117="","",Q117),IF($B$1="Duet",IF(T117="","",T117),IF($B$1="Mixed",IF(W117="","",W117),IF(Z117="","",Z117))))),IF($B$1="Solo",IF(N617="","",N617),IF($B$1="MSolo",IF(N617="","",N617),IF($B$1="Duet",IF(Q617="","",Q617),IF($B$1="Mixed",IF(T617="","",T617),IF(W617="","",W617))))))</f>
        <v>#N/A</v>
      </c>
      <c r="D118" s="3" t="e">
        <f>IF('Coach Card'!$T$5="",IF($D$1="Team",IF(AG117="","",AG117),""),IF($D$1="Team",IF(AD617="","",AD617),""))</f>
        <v>#N/A</v>
      </c>
      <c r="E118" s="3" t="e">
        <f>IF('Coach Card'!$T$5="",IF($D$1="Team",IF(AH117="","",AH117),""),IF($D$1="Team",IF(AE617="","",AE617),""))</f>
        <v>#N/A</v>
      </c>
      <c r="L118" s="1" t="s">
        <v>624</v>
      </c>
      <c r="M118" t="s">
        <v>1816</v>
      </c>
      <c r="N118" s="3">
        <v>0.3</v>
      </c>
      <c r="O118" s="1" t="s">
        <v>624</v>
      </c>
      <c r="P118" t="s">
        <v>1816</v>
      </c>
      <c r="Q118" s="3">
        <v>0.3</v>
      </c>
      <c r="R118" s="1" t="s">
        <v>624</v>
      </c>
      <c r="S118" t="s">
        <v>1816</v>
      </c>
      <c r="T118" s="3">
        <v>0.3</v>
      </c>
      <c r="U118" s="1" t="s">
        <v>624</v>
      </c>
      <c r="V118" t="s">
        <v>1816</v>
      </c>
      <c r="W118" s="3">
        <v>0.3</v>
      </c>
      <c r="X118" s="1" t="s">
        <v>624</v>
      </c>
      <c r="Y118" t="s">
        <v>1816</v>
      </c>
      <c r="Z118" s="3">
        <v>0.3</v>
      </c>
      <c r="AK118" t="s">
        <v>1814</v>
      </c>
      <c r="AL118" t="s">
        <v>1814</v>
      </c>
      <c r="AM118">
        <v>1</v>
      </c>
    </row>
    <row r="119" spans="1:39" x14ac:dyDescent="0.35">
      <c r="A119" s="6" t="e">
        <f>IF('Coach Card'!$T$5="",IF($B$1="Solo",IF(L118="","",L118),IF($B$1="MSolo",IF(O118="","",O118),IF($B$1="Duet",IF(R118="","",R118),IF($B$1="Mixed",IF(U118="","",U118),IF(X118="","",X118))))),IF($B$1="Solo",IF(L618="","",L618),IF($B$1="MSolo",IF(L618="","",L618),IF($B$1="Duet",IF(O618="","",O618),IF($B$1="Mixed",IF(R618="","",R618),IF(U618="","",U618))))))</f>
        <v>#N/A</v>
      </c>
      <c r="B119" s="3" t="e">
        <f>IF('Coach Card'!$T$5="",IF($B$1="Solo",IF(M118="","",M118),IF($B$1="MSolo",IF(P118="","",P118),IF($B$1="Duet",IF(S118="","",S118),IF($B$1="Mixed",IF(V118="","",V118),IF(Y118="","",Y118))))),IF($B$1="Solo",IF(M618="","",M618),IF($B$1="MSolo",IF(M618="","",M618),IF($B$1="Duet",IF(P618="","",P618),IF($B$1="Mixed",IF(S618="","",S618),IF(V618="","",V618))))))</f>
        <v>#N/A</v>
      </c>
      <c r="C119" s="3" t="e">
        <f>IF('Coach Card'!$T$5="",IF($B$1="Solo",IF(N118="","",N118),IF($B$1="MSolo",IF(Q118="","",Q118),IF($B$1="Duet",IF(T118="","",T118),IF($B$1="Mixed",IF(W118="","",W118),IF(Z118="","",Z118))))),IF($B$1="Solo",IF(N618="","",N618),IF($B$1="MSolo",IF(N618="","",N618),IF($B$1="Duet",IF(Q618="","",Q618),IF($B$1="Mixed",IF(T618="","",T618),IF(W618="","",W618))))))</f>
        <v>#N/A</v>
      </c>
      <c r="D119" s="3" t="e">
        <f>IF('Coach Card'!$T$5="",IF($D$1="Team",IF(AG118="","",AG118),""),IF($D$1="Team",IF(AD618="","",AD618),""))</f>
        <v>#N/A</v>
      </c>
      <c r="E119" s="3" t="e">
        <f>IF('Coach Card'!$T$5="",IF($D$1="Team",IF(AH118="","",AH118),""),IF($D$1="Team",IF(AE618="","",AE618),""))</f>
        <v>#N/A</v>
      </c>
      <c r="L119" s="1" t="s">
        <v>624</v>
      </c>
      <c r="M119" t="s">
        <v>1817</v>
      </c>
      <c r="N119" s="3">
        <v>0.3</v>
      </c>
      <c r="O119" s="1" t="s">
        <v>624</v>
      </c>
      <c r="P119" t="s">
        <v>1817</v>
      </c>
      <c r="Q119" s="3">
        <v>0.3</v>
      </c>
      <c r="R119" s="1" t="s">
        <v>624</v>
      </c>
      <c r="S119" t="s">
        <v>1817</v>
      </c>
      <c r="T119" s="3">
        <v>0.3</v>
      </c>
      <c r="U119" s="1" t="s">
        <v>624</v>
      </c>
      <c r="V119" t="s">
        <v>1817</v>
      </c>
      <c r="W119" s="3">
        <v>0.3</v>
      </c>
      <c r="X119" s="1" t="s">
        <v>624</v>
      </c>
      <c r="Y119" t="s">
        <v>1817</v>
      </c>
      <c r="Z119" s="3">
        <v>0.3</v>
      </c>
      <c r="AK119" t="s">
        <v>1815</v>
      </c>
      <c r="AL119" t="s">
        <v>1815</v>
      </c>
      <c r="AM119">
        <v>1</v>
      </c>
    </row>
    <row r="120" spans="1:39" x14ac:dyDescent="0.35">
      <c r="A120" s="6" t="e">
        <f>IF('Coach Card'!$T$5="",IF($B$1="Solo",IF(L119="","",L119),IF($B$1="MSolo",IF(O119="","",O119),IF($B$1="Duet",IF(R119="","",R119),IF($B$1="Mixed",IF(U119="","",U119),IF(X119="","",X119))))),IF($B$1="Solo",IF(L619="","",L619),IF($B$1="MSolo",IF(L619="","",L619),IF($B$1="Duet",IF(O619="","",O619),IF($B$1="Mixed",IF(R619="","",R619),IF(U619="","",U619))))))</f>
        <v>#N/A</v>
      </c>
      <c r="B120" s="3" t="e">
        <f>IF('Coach Card'!$T$5="",IF($B$1="Solo",IF(M119="","",M119),IF($B$1="MSolo",IF(P119="","",P119),IF($B$1="Duet",IF(S119="","",S119),IF($B$1="Mixed",IF(V119="","",V119),IF(Y119="","",Y119))))),IF($B$1="Solo",IF(M619="","",M619),IF($B$1="MSolo",IF(M619="","",M619),IF($B$1="Duet",IF(P619="","",P619),IF($B$1="Mixed",IF(S619="","",S619),IF(V619="","",V619))))))</f>
        <v>#N/A</v>
      </c>
      <c r="C120" s="3" t="e">
        <f>IF('Coach Card'!$T$5="",IF($B$1="Solo",IF(N119="","",N119),IF($B$1="MSolo",IF(Q119="","",Q119),IF($B$1="Duet",IF(T119="","",T119),IF($B$1="Mixed",IF(W119="","",W119),IF(Z119="","",Z119))))),IF($B$1="Solo",IF(N619="","",N619),IF($B$1="MSolo",IF(N619="","",N619),IF($B$1="Duet",IF(Q619="","",Q619),IF($B$1="Mixed",IF(T619="","",T619),IF(W619="","",W619))))))</f>
        <v>#N/A</v>
      </c>
      <c r="D120" s="3" t="e">
        <f>IF('Coach Card'!$T$5="",IF($D$1="Team",IF(AG119="","",AG119),""),IF($D$1="Team",IF(AD619="","",AD619),""))</f>
        <v>#N/A</v>
      </c>
      <c r="E120" s="3" t="e">
        <f>IF('Coach Card'!$T$5="",IF($D$1="Team",IF(AH119="","",AH119),""),IF($D$1="Team",IF(AE619="","",AE619),""))</f>
        <v>#N/A</v>
      </c>
      <c r="L120" s="1" t="s">
        <v>624</v>
      </c>
      <c r="M120" t="s">
        <v>1818</v>
      </c>
      <c r="N120" s="3">
        <v>0.3</v>
      </c>
      <c r="O120" s="1" t="s">
        <v>624</v>
      </c>
      <c r="P120" t="s">
        <v>1818</v>
      </c>
      <c r="Q120" s="3">
        <v>0.3</v>
      </c>
      <c r="R120" s="1" t="s">
        <v>624</v>
      </c>
      <c r="S120" t="s">
        <v>1818</v>
      </c>
      <c r="T120" s="3">
        <v>0.3</v>
      </c>
      <c r="U120" s="1" t="s">
        <v>624</v>
      </c>
      <c r="V120" t="s">
        <v>1818</v>
      </c>
      <c r="W120" s="3">
        <v>0.3</v>
      </c>
      <c r="X120" s="1" t="s">
        <v>624</v>
      </c>
      <c r="Y120" t="s">
        <v>1818</v>
      </c>
      <c r="Z120" s="3">
        <v>0.3</v>
      </c>
      <c r="AK120" t="s">
        <v>1816</v>
      </c>
      <c r="AL120" t="s">
        <v>1816</v>
      </c>
      <c r="AM120">
        <v>1</v>
      </c>
    </row>
    <row r="121" spans="1:39" x14ac:dyDescent="0.35">
      <c r="A121" s="6" t="e">
        <f>IF('Coach Card'!$T$5="",IF($B$1="Solo",IF(L120="","",L120),IF($B$1="MSolo",IF(O120="","",O120),IF($B$1="Duet",IF(R120="","",R120),IF($B$1="Mixed",IF(U120="","",U120),IF(X120="","",X120))))),IF($B$1="Solo",IF(L620="","",L620),IF($B$1="MSolo",IF(L620="","",L620),IF($B$1="Duet",IF(O620="","",O620),IF($B$1="Mixed",IF(R620="","",R620),IF(U620="","",U620))))))</f>
        <v>#N/A</v>
      </c>
      <c r="B121" s="3" t="e">
        <f>IF('Coach Card'!$T$5="",IF($B$1="Solo",IF(M120="","",M120),IF($B$1="MSolo",IF(P120="","",P120),IF($B$1="Duet",IF(S120="","",S120),IF($B$1="Mixed",IF(V120="","",V120),IF(Y120="","",Y120))))),IF($B$1="Solo",IF(M620="","",M620),IF($B$1="MSolo",IF(M620="","",M620),IF($B$1="Duet",IF(P620="","",P620),IF($B$1="Mixed",IF(S620="","",S620),IF(V620="","",V620))))))</f>
        <v>#N/A</v>
      </c>
      <c r="C121" s="3" t="e">
        <f>IF('Coach Card'!$T$5="",IF($B$1="Solo",IF(N120="","",N120),IF($B$1="MSolo",IF(Q120="","",Q120),IF($B$1="Duet",IF(T120="","",T120),IF($B$1="Mixed",IF(W120="","",W120),IF(Z120="","",Z120))))),IF($B$1="Solo",IF(N620="","",N620),IF($B$1="MSolo",IF(N620="","",N620),IF($B$1="Duet",IF(Q620="","",Q620),IF($B$1="Mixed",IF(T620="","",T620),IF(W620="","",W620))))))</f>
        <v>#N/A</v>
      </c>
      <c r="D121" s="3" t="e">
        <f>IF('Coach Card'!$T$5="",IF($D$1="Team",IF(AG120="","",AG120),""),IF($D$1="Team",IF(AD620="","",AD620),""))</f>
        <v>#N/A</v>
      </c>
      <c r="E121" s="3" t="e">
        <f>IF('Coach Card'!$T$5="",IF($D$1="Team",IF(AH120="","",AH120),""),IF($D$1="Team",IF(AE620="","",AE620),""))</f>
        <v>#N/A</v>
      </c>
      <c r="L121" s="1" t="s">
        <v>624</v>
      </c>
      <c r="M121" t="s">
        <v>2456</v>
      </c>
      <c r="N121" s="3">
        <v>0.3</v>
      </c>
      <c r="O121" s="1" t="s">
        <v>624</v>
      </c>
      <c r="P121" t="s">
        <v>2456</v>
      </c>
      <c r="Q121" s="3">
        <v>0.3</v>
      </c>
      <c r="R121" s="1" t="s">
        <v>624</v>
      </c>
      <c r="S121" t="s">
        <v>2456</v>
      </c>
      <c r="T121" s="3">
        <v>0.3</v>
      </c>
      <c r="U121" s="1" t="s">
        <v>624</v>
      </c>
      <c r="V121" t="s">
        <v>2456</v>
      </c>
      <c r="W121" s="3">
        <v>0.3</v>
      </c>
      <c r="X121" s="1" t="s">
        <v>624</v>
      </c>
      <c r="Y121" t="s">
        <v>2456</v>
      </c>
      <c r="Z121" s="3">
        <v>0.3</v>
      </c>
      <c r="AK121" t="s">
        <v>1817</v>
      </c>
      <c r="AL121" t="s">
        <v>1817</v>
      </c>
      <c r="AM121">
        <v>1</v>
      </c>
    </row>
    <row r="122" spans="1:39" x14ac:dyDescent="0.35">
      <c r="A122" s="6" t="e">
        <f>IF('Coach Card'!$T$5="",IF($B$1="Solo",IF(L121="","",L121),IF($B$1="MSolo",IF(O121="","",O121),IF($B$1="Duet",IF(R121="","",R121),IF($B$1="Mixed",IF(U121="","",U121),IF(X121="","",X121))))),IF($B$1="Solo",IF(L621="","",L621),IF($B$1="MSolo",IF(L621="","",L621),IF($B$1="Duet",IF(O621="","",O621),IF($B$1="Mixed",IF(R621="","",R621),IF(U621="","",U621))))))</f>
        <v>#N/A</v>
      </c>
      <c r="B122" s="3" t="e">
        <f>IF('Coach Card'!$T$5="",IF($B$1="Solo",IF(M121="","",M121),IF($B$1="MSolo",IF(P121="","",P121),IF($B$1="Duet",IF(S121="","",S121),IF($B$1="Mixed",IF(V121="","",V121),IF(Y121="","",Y121))))),IF($B$1="Solo",IF(M621="","",M621),IF($B$1="MSolo",IF(M621="","",M621),IF($B$1="Duet",IF(P621="","",P621),IF($B$1="Mixed",IF(S621="","",S621),IF(V621="","",V621))))))</f>
        <v>#N/A</v>
      </c>
      <c r="C122" s="3" t="e">
        <f>IF('Coach Card'!$T$5="",IF($B$1="Solo",IF(N121="","",N121),IF($B$1="MSolo",IF(Q121="","",Q121),IF($B$1="Duet",IF(T121="","",T121),IF($B$1="Mixed",IF(W121="","",W121),IF(Z121="","",Z121))))),IF($B$1="Solo",IF(N621="","",N621),IF($B$1="MSolo",IF(N621="","",N621),IF($B$1="Duet",IF(Q621="","",Q621),IF($B$1="Mixed",IF(T621="","",T621),IF(W621="","",W621))))))</f>
        <v>#N/A</v>
      </c>
      <c r="D122" s="3" t="e">
        <f>IF('Coach Card'!$T$5="",IF($D$1="Team",IF(AG121="","",AG121),""),IF($D$1="Team",IF(AD621="","",AD621),""))</f>
        <v>#N/A</v>
      </c>
      <c r="E122" s="3" t="e">
        <f>IF('Coach Card'!$T$5="",IF($D$1="Team",IF(AH121="","",AH121),""),IF($D$1="Team",IF(AE621="","",AE621),""))</f>
        <v>#N/A</v>
      </c>
      <c r="L122" s="1" t="s">
        <v>624</v>
      </c>
      <c r="M122" t="s">
        <v>1819</v>
      </c>
      <c r="N122" s="3">
        <v>0.35</v>
      </c>
      <c r="O122" s="1" t="s">
        <v>624</v>
      </c>
      <c r="P122" t="s">
        <v>1819</v>
      </c>
      <c r="Q122" s="3">
        <v>0.35</v>
      </c>
      <c r="R122" s="1" t="s">
        <v>624</v>
      </c>
      <c r="S122" t="s">
        <v>1819</v>
      </c>
      <c r="T122" s="3">
        <v>0.35</v>
      </c>
      <c r="U122" s="1" t="s">
        <v>624</v>
      </c>
      <c r="V122" t="s">
        <v>1819</v>
      </c>
      <c r="W122" s="3">
        <v>0.35</v>
      </c>
      <c r="X122" s="1" t="s">
        <v>624</v>
      </c>
      <c r="Y122" t="s">
        <v>1819</v>
      </c>
      <c r="Z122" s="3">
        <v>0.35</v>
      </c>
      <c r="AK122" t="s">
        <v>1818</v>
      </c>
      <c r="AL122" t="s">
        <v>1818</v>
      </c>
      <c r="AM122">
        <v>1</v>
      </c>
    </row>
    <row r="123" spans="1:39" x14ac:dyDescent="0.35">
      <c r="A123" s="6" t="e">
        <f>IF('Coach Card'!$T$5="",IF($B$1="Solo",IF(L122="","",L122),IF($B$1="MSolo",IF(O122="","",O122),IF($B$1="Duet",IF(R122="","",R122),IF($B$1="Mixed",IF(U122="","",U122),IF(X122="","",X122))))),IF($B$1="Solo",IF(L622="","",L622),IF($B$1="MSolo",IF(L622="","",L622),IF($B$1="Duet",IF(O622="","",O622),IF($B$1="Mixed",IF(R622="","",R622),IF(U622="","",U622))))))</f>
        <v>#N/A</v>
      </c>
      <c r="B123" s="3" t="e">
        <f>IF('Coach Card'!$T$5="",IF($B$1="Solo",IF(M122="","",M122),IF($B$1="MSolo",IF(P122="","",P122),IF($B$1="Duet",IF(S122="","",S122),IF($B$1="Mixed",IF(V122="","",V122),IF(Y122="","",Y122))))),IF($B$1="Solo",IF(M622="","",M622),IF($B$1="MSolo",IF(M622="","",M622),IF($B$1="Duet",IF(P622="","",P622),IF($B$1="Mixed",IF(S622="","",S622),IF(V622="","",V622))))))</f>
        <v>#N/A</v>
      </c>
      <c r="C123" s="3" t="e">
        <f>IF('Coach Card'!$T$5="",IF($B$1="Solo",IF(N122="","",N122),IF($B$1="MSolo",IF(Q122="","",Q122),IF($B$1="Duet",IF(T122="","",T122),IF($B$1="Mixed",IF(W122="","",W122),IF(Z122="","",Z122))))),IF($B$1="Solo",IF(N622="","",N622),IF($B$1="MSolo",IF(N622="","",N622),IF($B$1="Duet",IF(Q622="","",Q622),IF($B$1="Mixed",IF(T622="","",T622),IF(W622="","",W622))))))</f>
        <v>#N/A</v>
      </c>
      <c r="D123" s="3" t="e">
        <f>IF('Coach Card'!$T$5="",IF($D$1="Team",IF(AG122="","",AG122),""),IF($D$1="Team",IF(AD622="","",AD622),""))</f>
        <v>#N/A</v>
      </c>
      <c r="E123" s="3" t="e">
        <f>IF('Coach Card'!$T$5="",IF($D$1="Team",IF(AH122="","",AH122),""),IF($D$1="Team",IF(AE622="","",AE622),""))</f>
        <v>#N/A</v>
      </c>
      <c r="L123" s="1" t="s">
        <v>624</v>
      </c>
      <c r="M123" t="s">
        <v>1820</v>
      </c>
      <c r="N123" s="3">
        <v>0.35</v>
      </c>
      <c r="O123" s="1" t="s">
        <v>624</v>
      </c>
      <c r="P123" t="s">
        <v>1820</v>
      </c>
      <c r="Q123" s="3">
        <v>0.35</v>
      </c>
      <c r="R123" s="1" t="s">
        <v>624</v>
      </c>
      <c r="S123" t="s">
        <v>1820</v>
      </c>
      <c r="T123" s="3">
        <v>0.35</v>
      </c>
      <c r="U123" s="1" t="s">
        <v>624</v>
      </c>
      <c r="V123" t="s">
        <v>1820</v>
      </c>
      <c r="W123" s="3">
        <v>0.35</v>
      </c>
      <c r="X123" s="1" t="s">
        <v>624</v>
      </c>
      <c r="Y123" t="s">
        <v>1820</v>
      </c>
      <c r="Z123" s="3">
        <v>0.35</v>
      </c>
      <c r="AK123" t="s">
        <v>2456</v>
      </c>
      <c r="AL123" t="s">
        <v>2456</v>
      </c>
      <c r="AM123">
        <v>1</v>
      </c>
    </row>
    <row r="124" spans="1:39" x14ac:dyDescent="0.35">
      <c r="A124" s="6" t="e">
        <f>IF('Coach Card'!$T$5="",IF($B$1="Solo",IF(L123="","",L123),IF($B$1="MSolo",IF(O123="","",O123),IF($B$1="Duet",IF(R123="","",R123),IF($B$1="Mixed",IF(U123="","",U123),IF(X123="","",X123))))),IF($B$1="Solo",IF(L623="","",L623),IF($B$1="MSolo",IF(L623="","",L623),IF($B$1="Duet",IF(O623="","",O623),IF($B$1="Mixed",IF(R623="","",R623),IF(U623="","",U623))))))</f>
        <v>#N/A</v>
      </c>
      <c r="B124" s="3" t="e">
        <f>IF('Coach Card'!$T$5="",IF($B$1="Solo",IF(M123="","",M123),IF($B$1="MSolo",IF(P123="","",P123),IF($B$1="Duet",IF(S123="","",S123),IF($B$1="Mixed",IF(V123="","",V123),IF(Y123="","",Y123))))),IF($B$1="Solo",IF(M623="","",M623),IF($B$1="MSolo",IF(M623="","",M623),IF($B$1="Duet",IF(P623="","",P623),IF($B$1="Mixed",IF(S623="","",S623),IF(V623="","",V623))))))</f>
        <v>#N/A</v>
      </c>
      <c r="C124" s="3" t="e">
        <f>IF('Coach Card'!$T$5="",IF($B$1="Solo",IF(N123="","",N123),IF($B$1="MSolo",IF(Q123="","",Q123),IF($B$1="Duet",IF(T123="","",T123),IF($B$1="Mixed",IF(W123="","",W123),IF(Z123="","",Z123))))),IF($B$1="Solo",IF(N623="","",N623),IF($B$1="MSolo",IF(N623="","",N623),IF($B$1="Duet",IF(Q623="","",Q623),IF($B$1="Mixed",IF(T623="","",T623),IF(W623="","",W623))))))</f>
        <v>#N/A</v>
      </c>
      <c r="D124" s="3" t="e">
        <f>IF('Coach Card'!$T$5="",IF($D$1="Team",IF(AG123="","",AG123),""),IF($D$1="Team",IF(AD623="","",AD623),""))</f>
        <v>#N/A</v>
      </c>
      <c r="E124" s="3" t="e">
        <f>IF('Coach Card'!$T$5="",IF($D$1="Team",IF(AH123="","",AH123),""),IF($D$1="Team",IF(AE623="","",AE623),""))</f>
        <v>#N/A</v>
      </c>
      <c r="L124" s="1" t="s">
        <v>624</v>
      </c>
      <c r="M124" t="s">
        <v>1821</v>
      </c>
      <c r="N124" s="3">
        <v>0.35</v>
      </c>
      <c r="O124" s="1" t="s">
        <v>624</v>
      </c>
      <c r="P124" t="s">
        <v>1821</v>
      </c>
      <c r="Q124" s="3">
        <v>0.35</v>
      </c>
      <c r="R124" s="1" t="s">
        <v>624</v>
      </c>
      <c r="S124" t="s">
        <v>1821</v>
      </c>
      <c r="T124" s="3">
        <v>0.35</v>
      </c>
      <c r="U124" s="1" t="s">
        <v>624</v>
      </c>
      <c r="V124" t="s">
        <v>1821</v>
      </c>
      <c r="W124" s="3">
        <v>0.35</v>
      </c>
      <c r="X124" s="1" t="s">
        <v>624</v>
      </c>
      <c r="Y124" t="s">
        <v>1821</v>
      </c>
      <c r="Z124" s="3">
        <v>0.35</v>
      </c>
      <c r="AK124" t="s">
        <v>1819</v>
      </c>
      <c r="AL124" t="s">
        <v>1819</v>
      </c>
      <c r="AM124">
        <v>1</v>
      </c>
    </row>
    <row r="125" spans="1:39" x14ac:dyDescent="0.35">
      <c r="A125" s="6" t="e">
        <f>IF('Coach Card'!$T$5="",IF($B$1="Solo",IF(L124="","",L124),IF($B$1="MSolo",IF(O124="","",O124),IF($B$1="Duet",IF(R124="","",R124),IF($B$1="Mixed",IF(U124="","",U124),IF(X124="","",X124))))),IF($B$1="Solo",IF(L624="","",L624),IF($B$1="MSolo",IF(L624="","",L624),IF($B$1="Duet",IF(O624="","",O624),IF($B$1="Mixed",IF(R624="","",R624),IF(U624="","",U624))))))</f>
        <v>#N/A</v>
      </c>
      <c r="B125" s="3" t="e">
        <f>IF('Coach Card'!$T$5="",IF($B$1="Solo",IF(M124="","",M124),IF($B$1="MSolo",IF(P124="","",P124),IF($B$1="Duet",IF(S124="","",S124),IF($B$1="Mixed",IF(V124="","",V124),IF(Y124="","",Y124))))),IF($B$1="Solo",IF(M624="","",M624),IF($B$1="MSolo",IF(M624="","",M624),IF($B$1="Duet",IF(P624="","",P624),IF($B$1="Mixed",IF(S624="","",S624),IF(V624="","",V624))))))</f>
        <v>#N/A</v>
      </c>
      <c r="C125" s="3" t="e">
        <f>IF('Coach Card'!$T$5="",IF($B$1="Solo",IF(N124="","",N124),IF($B$1="MSolo",IF(Q124="","",Q124),IF($B$1="Duet",IF(T124="","",T124),IF($B$1="Mixed",IF(W124="","",W124),IF(Z124="","",Z124))))),IF($B$1="Solo",IF(N624="","",N624),IF($B$1="MSolo",IF(N624="","",N624),IF($B$1="Duet",IF(Q624="","",Q624),IF($B$1="Mixed",IF(T624="","",T624),IF(W624="","",W624))))))</f>
        <v>#N/A</v>
      </c>
      <c r="D125" s="3" t="e">
        <f>IF('Coach Card'!$T$5="",IF($D$1="Team",IF(AG124="","",AG124),""),IF($D$1="Team",IF(AD624="","",AD624),""))</f>
        <v>#N/A</v>
      </c>
      <c r="E125" s="3" t="e">
        <f>IF('Coach Card'!$T$5="",IF($D$1="Team",IF(AH124="","",AH124),""),IF($D$1="Team",IF(AE624="","",AE624),""))</f>
        <v>#N/A</v>
      </c>
      <c r="L125" s="1" t="s">
        <v>624</v>
      </c>
      <c r="M125" t="s">
        <v>1822</v>
      </c>
      <c r="N125" s="3">
        <v>0.35</v>
      </c>
      <c r="O125" s="1" t="s">
        <v>624</v>
      </c>
      <c r="P125" t="s">
        <v>1822</v>
      </c>
      <c r="Q125" s="3">
        <v>0.35</v>
      </c>
      <c r="R125" s="1" t="s">
        <v>624</v>
      </c>
      <c r="S125" t="s">
        <v>1822</v>
      </c>
      <c r="T125" s="3">
        <v>0.35</v>
      </c>
      <c r="U125" s="1" t="s">
        <v>624</v>
      </c>
      <c r="V125" t="s">
        <v>1822</v>
      </c>
      <c r="W125" s="3">
        <v>0.35</v>
      </c>
      <c r="X125" s="1" t="s">
        <v>624</v>
      </c>
      <c r="Y125" t="s">
        <v>1822</v>
      </c>
      <c r="Z125" s="3">
        <v>0.35</v>
      </c>
      <c r="AK125" t="s">
        <v>1820</v>
      </c>
      <c r="AL125" t="s">
        <v>1820</v>
      </c>
      <c r="AM125">
        <v>1</v>
      </c>
    </row>
    <row r="126" spans="1:39" x14ac:dyDescent="0.35">
      <c r="A126" s="6" t="e">
        <f>IF('Coach Card'!$T$5="",IF($B$1="Solo",IF(L125="","",L125),IF($B$1="MSolo",IF(O125="","",O125),IF($B$1="Duet",IF(R125="","",R125),IF($B$1="Mixed",IF(U125="","",U125),IF(X125="","",X125))))),IF($B$1="Solo",IF(L625="","",L625),IF($B$1="MSolo",IF(L625="","",L625),IF($B$1="Duet",IF(O625="","",O625),IF($B$1="Mixed",IF(R625="","",R625),IF(U625="","",U625))))))</f>
        <v>#N/A</v>
      </c>
      <c r="B126" s="3" t="e">
        <f>IF('Coach Card'!$T$5="",IF($B$1="Solo",IF(M125="","",M125),IF($B$1="MSolo",IF(P125="","",P125),IF($B$1="Duet",IF(S125="","",S125),IF($B$1="Mixed",IF(V125="","",V125),IF(Y125="","",Y125))))),IF($B$1="Solo",IF(M625="","",M625),IF($B$1="MSolo",IF(M625="","",M625),IF($B$1="Duet",IF(P625="","",P625),IF($B$1="Mixed",IF(S625="","",S625),IF(V625="","",V625))))))</f>
        <v>#N/A</v>
      </c>
      <c r="C126" s="3" t="e">
        <f>IF('Coach Card'!$T$5="",IF($B$1="Solo",IF(N125="","",N125),IF($B$1="MSolo",IF(Q125="","",Q125),IF($B$1="Duet",IF(T125="","",T125),IF($B$1="Mixed",IF(W125="","",W125),IF(Z125="","",Z125))))),IF($B$1="Solo",IF(N625="","",N625),IF($B$1="MSolo",IF(N625="","",N625),IF($B$1="Duet",IF(Q625="","",Q625),IF($B$1="Mixed",IF(T625="","",T625),IF(W625="","",W625))))))</f>
        <v>#N/A</v>
      </c>
      <c r="D126" s="3" t="e">
        <f>IF('Coach Card'!$T$5="",IF($D$1="Team",IF(AG125="","",AG125),""),IF($D$1="Team",IF(AD625="","",AD625),""))</f>
        <v>#N/A</v>
      </c>
      <c r="E126" s="3" t="e">
        <f>IF('Coach Card'!$T$5="",IF($D$1="Team",IF(AH125="","",AH125),""),IF($D$1="Team",IF(AE625="","",AE625),""))</f>
        <v>#N/A</v>
      </c>
      <c r="L126" s="1" t="s">
        <v>624</v>
      </c>
      <c r="M126" t="s">
        <v>1823</v>
      </c>
      <c r="N126" s="3">
        <v>0.35</v>
      </c>
      <c r="O126" s="1" t="s">
        <v>624</v>
      </c>
      <c r="P126" t="s">
        <v>1823</v>
      </c>
      <c r="Q126" s="3">
        <v>0.35</v>
      </c>
      <c r="R126" s="1" t="s">
        <v>624</v>
      </c>
      <c r="S126" t="s">
        <v>1823</v>
      </c>
      <c r="T126" s="3">
        <v>0.35</v>
      </c>
      <c r="U126" s="1" t="s">
        <v>624</v>
      </c>
      <c r="V126" t="s">
        <v>1823</v>
      </c>
      <c r="W126" s="3">
        <v>0.35</v>
      </c>
      <c r="X126" s="1" t="s">
        <v>624</v>
      </c>
      <c r="Y126" t="s">
        <v>1823</v>
      </c>
      <c r="Z126" s="3">
        <v>0.35</v>
      </c>
      <c r="AK126" t="s">
        <v>1821</v>
      </c>
      <c r="AL126" t="s">
        <v>1821</v>
      </c>
      <c r="AM126">
        <v>1</v>
      </c>
    </row>
    <row r="127" spans="1:39" x14ac:dyDescent="0.35">
      <c r="A127" s="6" t="e">
        <f>IF('Coach Card'!$T$5="",IF($B$1="Solo",IF(L126="","",L126),IF($B$1="MSolo",IF(O126="","",O126),IF($B$1="Duet",IF(R126="","",R126),IF($B$1="Mixed",IF(U126="","",U126),IF(X126="","",X126))))),IF($B$1="Solo",IF(L626="","",L626),IF($B$1="MSolo",IF(L626="","",L626),IF($B$1="Duet",IF(O626="","",O626),IF($B$1="Mixed",IF(R626="","",R626),IF(U626="","",U626))))))</f>
        <v>#N/A</v>
      </c>
      <c r="B127" s="3" t="e">
        <f>IF('Coach Card'!$T$5="",IF($B$1="Solo",IF(M126="","",M126),IF($B$1="MSolo",IF(P126="","",P126),IF($B$1="Duet",IF(S126="","",S126),IF($B$1="Mixed",IF(V126="","",V126),IF(Y126="","",Y126))))),IF($B$1="Solo",IF(M626="","",M626),IF($B$1="MSolo",IF(M626="","",M626),IF($B$1="Duet",IF(P626="","",P626),IF($B$1="Mixed",IF(S626="","",S626),IF(V626="","",V626))))))</f>
        <v>#N/A</v>
      </c>
      <c r="C127" s="3" t="e">
        <f>IF('Coach Card'!$T$5="",IF($B$1="Solo",IF(N126="","",N126),IF($B$1="MSolo",IF(Q126="","",Q126),IF($B$1="Duet",IF(T126="","",T126),IF($B$1="Mixed",IF(W126="","",W126),IF(Z126="","",Z126))))),IF($B$1="Solo",IF(N626="","",N626),IF($B$1="MSolo",IF(N626="","",N626),IF($B$1="Duet",IF(Q626="","",Q626),IF($B$1="Mixed",IF(T626="","",T626),IF(W626="","",W626))))))</f>
        <v>#N/A</v>
      </c>
      <c r="D127" s="3" t="e">
        <f>IF('Coach Card'!$T$5="",IF($D$1="Team",IF(AG126="","",AG126),""),IF($D$1="Team",IF(AD626="","",AD626),""))</f>
        <v>#N/A</v>
      </c>
      <c r="E127" s="3" t="e">
        <f>IF('Coach Card'!$T$5="",IF($D$1="Team",IF(AH126="","",AH126),""),IF($D$1="Team",IF(AE626="","",AE626),""))</f>
        <v>#N/A</v>
      </c>
      <c r="L127" s="1" t="s">
        <v>624</v>
      </c>
      <c r="M127" t="s">
        <v>1824</v>
      </c>
      <c r="N127" s="3">
        <v>0.35</v>
      </c>
      <c r="O127" s="1" t="s">
        <v>624</v>
      </c>
      <c r="P127" t="s">
        <v>1824</v>
      </c>
      <c r="Q127" s="3">
        <v>0.35</v>
      </c>
      <c r="R127" s="1" t="s">
        <v>624</v>
      </c>
      <c r="S127" t="s">
        <v>1824</v>
      </c>
      <c r="T127" s="3">
        <v>0.35</v>
      </c>
      <c r="U127" s="1" t="s">
        <v>624</v>
      </c>
      <c r="V127" t="s">
        <v>1824</v>
      </c>
      <c r="W127" s="3">
        <v>0.35</v>
      </c>
      <c r="X127" s="1" t="s">
        <v>624</v>
      </c>
      <c r="Y127" t="s">
        <v>1824</v>
      </c>
      <c r="Z127" s="3">
        <v>0.35</v>
      </c>
      <c r="AK127" t="s">
        <v>1822</v>
      </c>
      <c r="AL127" t="s">
        <v>1822</v>
      </c>
      <c r="AM127">
        <v>1</v>
      </c>
    </row>
    <row r="128" spans="1:39" x14ac:dyDescent="0.35">
      <c r="A128" s="6" t="e">
        <f>IF('Coach Card'!$T$5="",IF($B$1="Solo",IF(L127="","",L127),IF($B$1="MSolo",IF(O127="","",O127),IF($B$1="Duet",IF(R127="","",R127),IF($B$1="Mixed",IF(U127="","",U127),IF(X127="","",X127))))),IF($B$1="Solo",IF(L627="","",L627),IF($B$1="MSolo",IF(L627="","",L627),IF($B$1="Duet",IF(O627="","",O627),IF($B$1="Mixed",IF(R627="","",R627),IF(U627="","",U627))))))</f>
        <v>#N/A</v>
      </c>
      <c r="B128" s="3" t="e">
        <f>IF('Coach Card'!$T$5="",IF($B$1="Solo",IF(M127="","",M127),IF($B$1="MSolo",IF(P127="","",P127),IF($B$1="Duet",IF(S127="","",S127),IF($B$1="Mixed",IF(V127="","",V127),IF(Y127="","",Y127))))),IF($B$1="Solo",IF(M627="","",M627),IF($B$1="MSolo",IF(M627="","",M627),IF($B$1="Duet",IF(P627="","",P627),IF($B$1="Mixed",IF(S627="","",S627),IF(V627="","",V627))))))</f>
        <v>#N/A</v>
      </c>
      <c r="C128" s="3" t="e">
        <f>IF('Coach Card'!$T$5="",IF($B$1="Solo",IF(N127="","",N127),IF($B$1="MSolo",IF(Q127="","",Q127),IF($B$1="Duet",IF(T127="","",T127),IF($B$1="Mixed",IF(W127="","",W127),IF(Z127="","",Z127))))),IF($B$1="Solo",IF(N627="","",N627),IF($B$1="MSolo",IF(N627="","",N627),IF($B$1="Duet",IF(Q627="","",Q627),IF($B$1="Mixed",IF(T627="","",T627),IF(W627="","",W627))))))</f>
        <v>#N/A</v>
      </c>
      <c r="D128" s="3" t="e">
        <f>IF('Coach Card'!$T$5="",IF($D$1="Team",IF(AG127="","",AG127),""),IF($D$1="Team",IF(AD627="","",AD627),""))</f>
        <v>#N/A</v>
      </c>
      <c r="E128" s="3" t="e">
        <f>IF('Coach Card'!$T$5="",IF($D$1="Team",IF(AH127="","",AH127),""),IF($D$1="Team",IF(AE627="","",AE627),""))</f>
        <v>#N/A</v>
      </c>
      <c r="L128" s="1" t="s">
        <v>624</v>
      </c>
      <c r="M128" t="s">
        <v>1825</v>
      </c>
      <c r="N128" s="3">
        <v>0.4</v>
      </c>
      <c r="O128" s="1" t="s">
        <v>624</v>
      </c>
      <c r="P128" t="s">
        <v>1825</v>
      </c>
      <c r="Q128" s="3">
        <v>0.4</v>
      </c>
      <c r="R128" s="1" t="s">
        <v>624</v>
      </c>
      <c r="S128" t="s">
        <v>1825</v>
      </c>
      <c r="T128" s="3">
        <v>0.4</v>
      </c>
      <c r="U128" s="1" t="s">
        <v>624</v>
      </c>
      <c r="V128" t="s">
        <v>1825</v>
      </c>
      <c r="W128" s="3">
        <v>0.4</v>
      </c>
      <c r="X128" s="1" t="s">
        <v>624</v>
      </c>
      <c r="Y128" t="s">
        <v>1825</v>
      </c>
      <c r="Z128" s="3">
        <v>0.4</v>
      </c>
      <c r="AK128" t="s">
        <v>1823</v>
      </c>
      <c r="AL128" t="s">
        <v>1823</v>
      </c>
      <c r="AM128">
        <v>1</v>
      </c>
    </row>
    <row r="129" spans="1:39" x14ac:dyDescent="0.35">
      <c r="A129" s="6" t="e">
        <f>IF('Coach Card'!$T$5="",IF($B$1="Solo",IF(L128="","",L128),IF($B$1="MSolo",IF(O128="","",O128),IF($B$1="Duet",IF(R128="","",R128),IF($B$1="Mixed",IF(U128="","",U128),IF(X128="","",X128))))),IF($B$1="Solo",IF(L628="","",L628),IF($B$1="MSolo",IF(L628="","",L628),IF($B$1="Duet",IF(O628="","",O628),IF($B$1="Mixed",IF(R628="","",R628),IF(U628="","",U628))))))</f>
        <v>#N/A</v>
      </c>
      <c r="B129" s="3" t="e">
        <f>IF('Coach Card'!$T$5="",IF($B$1="Solo",IF(M128="","",M128),IF($B$1="MSolo",IF(P128="","",P128),IF($B$1="Duet",IF(S128="","",S128),IF($B$1="Mixed",IF(V128="","",V128),IF(Y128="","",Y128))))),IF($B$1="Solo",IF(M628="","",M628),IF($B$1="MSolo",IF(M628="","",M628),IF($B$1="Duet",IF(P628="","",P628),IF($B$1="Mixed",IF(S628="","",S628),IF(V628="","",V628))))))</f>
        <v>#N/A</v>
      </c>
      <c r="C129" s="3" t="e">
        <f>IF('Coach Card'!$T$5="",IF($B$1="Solo",IF(N128="","",N128),IF($B$1="MSolo",IF(Q128="","",Q128),IF($B$1="Duet",IF(T128="","",T128),IF($B$1="Mixed",IF(W128="","",W128),IF(Z128="","",Z128))))),IF($B$1="Solo",IF(N628="","",N628),IF($B$1="MSolo",IF(N628="","",N628),IF($B$1="Duet",IF(Q628="","",Q628),IF($B$1="Mixed",IF(T628="","",T628),IF(W628="","",W628))))))</f>
        <v>#N/A</v>
      </c>
      <c r="D129" s="3" t="e">
        <f>IF('Coach Card'!$T$5="",IF($D$1="Team",IF(AG128="","",AG128),""),IF($D$1="Team",IF(AD628="","",AD628),""))</f>
        <v>#N/A</v>
      </c>
      <c r="E129" s="3" t="e">
        <f>IF('Coach Card'!$T$5="",IF($D$1="Team",IF(AH128="","",AH128),""),IF($D$1="Team",IF(AE628="","",AE628),""))</f>
        <v>#N/A</v>
      </c>
      <c r="L129" s="1" t="s">
        <v>624</v>
      </c>
      <c r="M129" t="s">
        <v>1826</v>
      </c>
      <c r="N129" s="3">
        <v>0.4</v>
      </c>
      <c r="O129" s="1" t="s">
        <v>624</v>
      </c>
      <c r="P129" t="s">
        <v>1826</v>
      </c>
      <c r="Q129" s="3">
        <v>0.4</v>
      </c>
      <c r="R129" s="1" t="s">
        <v>624</v>
      </c>
      <c r="S129" t="s">
        <v>1826</v>
      </c>
      <c r="T129" s="3">
        <v>0.4</v>
      </c>
      <c r="U129" s="1" t="s">
        <v>624</v>
      </c>
      <c r="V129" t="s">
        <v>1826</v>
      </c>
      <c r="W129" s="3">
        <v>0.4</v>
      </c>
      <c r="X129" s="1" t="s">
        <v>624</v>
      </c>
      <c r="Y129" t="s">
        <v>1826</v>
      </c>
      <c r="Z129" s="3">
        <v>0.4</v>
      </c>
      <c r="AK129" t="s">
        <v>1824</v>
      </c>
      <c r="AL129" t="s">
        <v>1824</v>
      </c>
      <c r="AM129">
        <v>1</v>
      </c>
    </row>
    <row r="130" spans="1:39" x14ac:dyDescent="0.35">
      <c r="A130" s="6" t="e">
        <f>IF('Coach Card'!$T$5="",IF($B$1="Solo",IF(L129="","",L129),IF($B$1="MSolo",IF(O129="","",O129),IF($B$1="Duet",IF(R129="","",R129),IF($B$1="Mixed",IF(U129="","",U129),IF(X129="","",X129))))),IF($B$1="Solo",IF(L629="","",L629),IF($B$1="MSolo",IF(L629="","",L629),IF($B$1="Duet",IF(O629="","",O629),IF($B$1="Mixed",IF(R629="","",R629),IF(U629="","",U629))))))</f>
        <v>#N/A</v>
      </c>
      <c r="B130" s="3" t="e">
        <f>IF('Coach Card'!$T$5="",IF($B$1="Solo",IF(M129="","",M129),IF($B$1="MSolo",IF(P129="","",P129),IF($B$1="Duet",IF(S129="","",S129),IF($B$1="Mixed",IF(V129="","",V129),IF(Y129="","",Y129))))),IF($B$1="Solo",IF(M629="","",M629),IF($B$1="MSolo",IF(M629="","",M629),IF($B$1="Duet",IF(P629="","",P629),IF($B$1="Mixed",IF(S629="","",S629),IF(V629="","",V629))))))</f>
        <v>#N/A</v>
      </c>
      <c r="C130" s="3" t="e">
        <f>IF('Coach Card'!$T$5="",IF($B$1="Solo",IF(N129="","",N129),IF($B$1="MSolo",IF(Q129="","",Q129),IF($B$1="Duet",IF(T129="","",T129),IF($B$1="Mixed",IF(W129="","",W129),IF(Z129="","",Z129))))),IF($B$1="Solo",IF(N629="","",N629),IF($B$1="MSolo",IF(N629="","",N629),IF($B$1="Duet",IF(Q629="","",Q629),IF($B$1="Mixed",IF(T629="","",T629),IF(W629="","",W629))))))</f>
        <v>#N/A</v>
      </c>
      <c r="D130" s="3" t="e">
        <f>IF('Coach Card'!$T$5="",IF($D$1="Team",IF(AG129="","",AG129),""),IF($D$1="Team",IF(AD629="","",AD629),""))</f>
        <v>#N/A</v>
      </c>
      <c r="E130" s="3" t="e">
        <f>IF('Coach Card'!$T$5="",IF($D$1="Team",IF(AH129="","",AH129),""),IF($D$1="Team",IF(AE629="","",AE629),""))</f>
        <v>#N/A</v>
      </c>
      <c r="L130" s="1" t="s">
        <v>624</v>
      </c>
      <c r="M130" t="s">
        <v>1827</v>
      </c>
      <c r="N130" s="3">
        <v>0.4</v>
      </c>
      <c r="O130" s="1" t="s">
        <v>624</v>
      </c>
      <c r="P130" t="s">
        <v>1827</v>
      </c>
      <c r="Q130" s="3">
        <v>0.4</v>
      </c>
      <c r="R130" s="1" t="s">
        <v>624</v>
      </c>
      <c r="S130" t="s">
        <v>1827</v>
      </c>
      <c r="T130" s="3">
        <v>0.4</v>
      </c>
      <c r="U130" s="1" t="s">
        <v>624</v>
      </c>
      <c r="V130" t="s">
        <v>1827</v>
      </c>
      <c r="W130" s="3">
        <v>0.4</v>
      </c>
      <c r="X130" s="1" t="s">
        <v>624</v>
      </c>
      <c r="Y130" t="s">
        <v>1827</v>
      </c>
      <c r="Z130" s="3">
        <v>0.4</v>
      </c>
      <c r="AK130" t="s">
        <v>1825</v>
      </c>
      <c r="AL130" t="s">
        <v>1825</v>
      </c>
      <c r="AM130">
        <v>1</v>
      </c>
    </row>
    <row r="131" spans="1:39" x14ac:dyDescent="0.35">
      <c r="A131" s="6" t="e">
        <f>IF('Coach Card'!$T$5="",IF($B$1="Solo",IF(L130="","",L130),IF($B$1="MSolo",IF(O130="","",O130),IF($B$1="Duet",IF(R130="","",R130),IF($B$1="Mixed",IF(U130="","",U130),IF(X130="","",X130))))),IF($B$1="Solo",IF(L630="","",L630),IF($B$1="MSolo",IF(L630="","",L630),IF($B$1="Duet",IF(O630="","",O630),IF($B$1="Mixed",IF(R630="","",R630),IF(U630="","",U630))))))</f>
        <v>#N/A</v>
      </c>
      <c r="B131" s="3" t="e">
        <f>IF('Coach Card'!$T$5="",IF($B$1="Solo",IF(M130="","",M130),IF($B$1="MSolo",IF(P130="","",P130),IF($B$1="Duet",IF(S130="","",S130),IF($B$1="Mixed",IF(V130="","",V130),IF(Y130="","",Y130))))),IF($B$1="Solo",IF(M630="","",M630),IF($B$1="MSolo",IF(M630="","",M630),IF($B$1="Duet",IF(P630="","",P630),IF($B$1="Mixed",IF(S630="","",S630),IF(V630="","",V630))))))</f>
        <v>#N/A</v>
      </c>
      <c r="C131" s="3" t="e">
        <f>IF('Coach Card'!$T$5="",IF($B$1="Solo",IF(N130="","",N130),IF($B$1="MSolo",IF(Q130="","",Q130),IF($B$1="Duet",IF(T130="","",T130),IF($B$1="Mixed",IF(W130="","",W130),IF(Z130="","",Z130))))),IF($B$1="Solo",IF(N630="","",N630),IF($B$1="MSolo",IF(N630="","",N630),IF($B$1="Duet",IF(Q630="","",Q630),IF($B$1="Mixed",IF(T630="","",T630),IF(W630="","",W630))))))</f>
        <v>#N/A</v>
      </c>
      <c r="D131" s="3" t="e">
        <f>IF('Coach Card'!$T$5="",IF($D$1="Team",IF(AG130="","",AG130),""),IF($D$1="Team",IF(AD630="","",AD630),""))</f>
        <v>#N/A</v>
      </c>
      <c r="E131" s="3" t="e">
        <f>IF('Coach Card'!$T$5="",IF($D$1="Team",IF(AH130="","",AH130),""),IF($D$1="Team",IF(AE630="","",AE630),""))</f>
        <v>#N/A</v>
      </c>
      <c r="L131" s="1" t="s">
        <v>624</v>
      </c>
      <c r="M131" t="s">
        <v>1828</v>
      </c>
      <c r="N131" s="3">
        <v>0.45</v>
      </c>
      <c r="O131" s="1" t="s">
        <v>624</v>
      </c>
      <c r="P131" t="s">
        <v>1828</v>
      </c>
      <c r="Q131" s="3">
        <v>0.45</v>
      </c>
      <c r="R131" s="1" t="s">
        <v>624</v>
      </c>
      <c r="S131" t="s">
        <v>1828</v>
      </c>
      <c r="T131" s="3">
        <v>0.45</v>
      </c>
      <c r="U131" s="1" t="s">
        <v>624</v>
      </c>
      <c r="V131" t="s">
        <v>1828</v>
      </c>
      <c r="W131" s="3">
        <v>0.45</v>
      </c>
      <c r="X131" s="1" t="s">
        <v>624</v>
      </c>
      <c r="Y131" t="s">
        <v>1828</v>
      </c>
      <c r="Z131" s="3">
        <v>0.45</v>
      </c>
      <c r="AK131" t="s">
        <v>1826</v>
      </c>
      <c r="AL131" t="s">
        <v>1826</v>
      </c>
      <c r="AM131">
        <v>1</v>
      </c>
    </row>
    <row r="132" spans="1:39" x14ac:dyDescent="0.35">
      <c r="A132" s="6" t="e">
        <f>IF('Coach Card'!$T$5="",IF($B$1="Solo",IF(L131="","",L131),IF($B$1="MSolo",IF(O131="","",O131),IF($B$1="Duet",IF(R131="","",R131),IF($B$1="Mixed",IF(U131="","",U131),IF(X131="","",X131))))),IF($B$1="Solo",IF(L631="","",L631),IF($B$1="MSolo",IF(L631="","",L631),IF($B$1="Duet",IF(O631="","",O631),IF($B$1="Mixed",IF(R631="","",R631),IF(U631="","",U631))))))</f>
        <v>#N/A</v>
      </c>
      <c r="B132" s="3" t="e">
        <f>IF('Coach Card'!$T$5="",IF($B$1="Solo",IF(M131="","",M131),IF($B$1="MSolo",IF(P131="","",P131),IF($B$1="Duet",IF(S131="","",S131),IF($B$1="Mixed",IF(V131="","",V131),IF(Y131="","",Y131))))),IF($B$1="Solo",IF(M631="","",M631),IF($B$1="MSolo",IF(M631="","",M631),IF($B$1="Duet",IF(P631="","",P631),IF($B$1="Mixed",IF(S631="","",S631),IF(V631="","",V631))))))</f>
        <v>#N/A</v>
      </c>
      <c r="C132" s="3" t="e">
        <f>IF('Coach Card'!$T$5="",IF($B$1="Solo",IF(N131="","",N131),IF($B$1="MSolo",IF(Q131="","",Q131),IF($B$1="Duet",IF(T131="","",T131),IF($B$1="Mixed",IF(W131="","",W131),IF(Z131="","",Z131))))),IF($B$1="Solo",IF(N631="","",N631),IF($B$1="MSolo",IF(N631="","",N631),IF($B$1="Duet",IF(Q631="","",Q631),IF($B$1="Mixed",IF(T631="","",T631),IF(W631="","",W631))))))</f>
        <v>#N/A</v>
      </c>
      <c r="D132" s="3" t="e">
        <f>IF('Coach Card'!$T$5="",IF($D$1="Team",IF(AG131="","",AG131),""),IF($D$1="Team",IF(AD631="","",AD631),""))</f>
        <v>#N/A</v>
      </c>
      <c r="E132" s="3" t="e">
        <f>IF('Coach Card'!$T$5="",IF($D$1="Team",IF(AH131="","",AH131),""),IF($D$1="Team",IF(AE631="","",AE631),""))</f>
        <v>#N/A</v>
      </c>
      <c r="L132" s="1" t="s">
        <v>624</v>
      </c>
      <c r="M132" t="s">
        <v>1829</v>
      </c>
      <c r="N132" s="3">
        <v>0.45</v>
      </c>
      <c r="O132" s="1" t="s">
        <v>624</v>
      </c>
      <c r="P132" t="s">
        <v>1829</v>
      </c>
      <c r="Q132" s="3">
        <v>0.45</v>
      </c>
      <c r="R132" s="1" t="s">
        <v>624</v>
      </c>
      <c r="S132" t="s">
        <v>1829</v>
      </c>
      <c r="T132" s="3">
        <v>0.45</v>
      </c>
      <c r="U132" s="1" t="s">
        <v>624</v>
      </c>
      <c r="V132" t="s">
        <v>1829</v>
      </c>
      <c r="W132" s="3">
        <v>0.45</v>
      </c>
      <c r="X132" s="1" t="s">
        <v>624</v>
      </c>
      <c r="Y132" t="s">
        <v>1829</v>
      </c>
      <c r="Z132" s="3">
        <v>0.45</v>
      </c>
      <c r="AK132" t="s">
        <v>1827</v>
      </c>
      <c r="AL132" t="s">
        <v>1827</v>
      </c>
      <c r="AM132">
        <v>1</v>
      </c>
    </row>
    <row r="133" spans="1:39" x14ac:dyDescent="0.35">
      <c r="A133" s="6" t="e">
        <f>IF('Coach Card'!$T$5="",IF($B$1="Solo",IF(L132="","",L132),IF($B$1="MSolo",IF(O132="","",O132),IF($B$1="Duet",IF(R132="","",R132),IF($B$1="Mixed",IF(U132="","",U132),IF(X132="","",X132))))),IF($B$1="Solo",IF(L632="","",L632),IF($B$1="MSolo",IF(L632="","",L632),IF($B$1="Duet",IF(O632="","",O632),IF($B$1="Mixed",IF(R632="","",R632),IF(U632="","",U632))))))</f>
        <v>#N/A</v>
      </c>
      <c r="B133" s="3" t="e">
        <f>IF('Coach Card'!$T$5="",IF($B$1="Solo",IF(M132="","",M132),IF($B$1="MSolo",IF(P132="","",P132),IF($B$1="Duet",IF(S132="","",S132),IF($B$1="Mixed",IF(V132="","",V132),IF(Y132="","",Y132))))),IF($B$1="Solo",IF(M632="","",M632),IF($B$1="MSolo",IF(M632="","",M632),IF($B$1="Duet",IF(P632="","",P632),IF($B$1="Mixed",IF(S632="","",S632),IF(V632="","",V632))))))</f>
        <v>#N/A</v>
      </c>
      <c r="C133" s="3" t="e">
        <f>IF('Coach Card'!$T$5="",IF($B$1="Solo",IF(N132="","",N132),IF($B$1="MSolo",IF(Q132="","",Q132),IF($B$1="Duet",IF(T132="","",T132),IF($B$1="Mixed",IF(W132="","",W132),IF(Z132="","",Z132))))),IF($B$1="Solo",IF(N632="","",N632),IF($B$1="MSolo",IF(N632="","",N632),IF($B$1="Duet",IF(Q632="","",Q632),IF($B$1="Mixed",IF(T632="","",T632),IF(W632="","",W632))))))</f>
        <v>#N/A</v>
      </c>
      <c r="D133" s="3" t="e">
        <f>IF('Coach Card'!$T$5="",IF($D$1="Team",IF(AG132="","",AG132),""),IF($D$1="Team",IF(AD632="","",AD632),""))</f>
        <v>#N/A</v>
      </c>
      <c r="E133" s="3" t="e">
        <f>IF('Coach Card'!$T$5="",IF($D$1="Team",IF(AH132="","",AH132),""),IF($D$1="Team",IF(AE632="","",AE632),""))</f>
        <v>#N/A</v>
      </c>
      <c r="L133" s="1" t="s">
        <v>624</v>
      </c>
      <c r="M133" t="s">
        <v>1830</v>
      </c>
      <c r="N133" s="3">
        <v>0.45</v>
      </c>
      <c r="O133" s="1" t="s">
        <v>624</v>
      </c>
      <c r="P133" t="s">
        <v>1830</v>
      </c>
      <c r="Q133" s="3">
        <v>0.45</v>
      </c>
      <c r="R133" s="1" t="s">
        <v>624</v>
      </c>
      <c r="S133" t="s">
        <v>1830</v>
      </c>
      <c r="T133" s="3">
        <v>0.45</v>
      </c>
      <c r="U133" s="1" t="s">
        <v>624</v>
      </c>
      <c r="V133" t="s">
        <v>1830</v>
      </c>
      <c r="W133" s="3">
        <v>0.45</v>
      </c>
      <c r="X133" s="1" t="s">
        <v>624</v>
      </c>
      <c r="Y133" t="s">
        <v>1830</v>
      </c>
      <c r="Z133" s="3">
        <v>0.45</v>
      </c>
      <c r="AK133" t="s">
        <v>1828</v>
      </c>
      <c r="AL133" t="s">
        <v>1828</v>
      </c>
      <c r="AM133">
        <v>1</v>
      </c>
    </row>
    <row r="134" spans="1:39" x14ac:dyDescent="0.35">
      <c r="A134" s="6" t="e">
        <f>IF('Coach Card'!$T$5="",IF($B$1="Solo",IF(L133="","",L133),IF($B$1="MSolo",IF(O133="","",O133),IF($B$1="Duet",IF(R133="","",R133),IF($B$1="Mixed",IF(U133="","",U133),IF(X133="","",X133))))),IF($B$1="Solo",IF(L633="","",L633),IF($B$1="MSolo",IF(L633="","",L633),IF($B$1="Duet",IF(O633="","",O633),IF($B$1="Mixed",IF(R633="","",R633),IF(U633="","",U633))))))</f>
        <v>#N/A</v>
      </c>
      <c r="B134" s="3" t="e">
        <f>IF('Coach Card'!$T$5="",IF($B$1="Solo",IF(M133="","",M133),IF($B$1="MSolo",IF(P133="","",P133),IF($B$1="Duet",IF(S133="","",S133),IF($B$1="Mixed",IF(V133="","",V133),IF(Y133="","",Y133))))),IF($B$1="Solo",IF(M633="","",M633),IF($B$1="MSolo",IF(M633="","",M633),IF($B$1="Duet",IF(P633="","",P633),IF($B$1="Mixed",IF(S633="","",S633),IF(V633="","",V633))))))</f>
        <v>#N/A</v>
      </c>
      <c r="C134" s="3" t="e">
        <f>IF('Coach Card'!$T$5="",IF($B$1="Solo",IF(N133="","",N133),IF($B$1="MSolo",IF(Q133="","",Q133),IF($B$1="Duet",IF(T133="","",T133),IF($B$1="Mixed",IF(W133="","",W133),IF(Z133="","",Z133))))),IF($B$1="Solo",IF(N633="","",N633),IF($B$1="MSolo",IF(N633="","",N633),IF($B$1="Duet",IF(Q633="","",Q633),IF($B$1="Mixed",IF(T633="","",T633),IF(W633="","",W633))))))</f>
        <v>#N/A</v>
      </c>
      <c r="D134" s="3" t="e">
        <f>IF('Coach Card'!$T$5="",IF($D$1="Team",IF(AG133="","",AG133),""),IF($D$1="Team",IF(AD633="","",AD633),""))</f>
        <v>#N/A</v>
      </c>
      <c r="E134" s="3" t="e">
        <f>IF('Coach Card'!$T$5="",IF($D$1="Team",IF(AH133="","",AH133),""),IF($D$1="Team",IF(AE633="","",AE633),""))</f>
        <v>#N/A</v>
      </c>
      <c r="L134" s="1" t="s">
        <v>624</v>
      </c>
      <c r="M134" t="s">
        <v>1831</v>
      </c>
      <c r="N134" s="3">
        <v>0.45</v>
      </c>
      <c r="O134" s="1" t="s">
        <v>624</v>
      </c>
      <c r="P134" t="s">
        <v>1831</v>
      </c>
      <c r="Q134" s="3">
        <v>0.45</v>
      </c>
      <c r="R134" s="1" t="s">
        <v>624</v>
      </c>
      <c r="S134" t="s">
        <v>1831</v>
      </c>
      <c r="T134" s="3">
        <v>0.45</v>
      </c>
      <c r="U134" s="1" t="s">
        <v>624</v>
      </c>
      <c r="V134" t="s">
        <v>1831</v>
      </c>
      <c r="W134" s="3">
        <v>0.45</v>
      </c>
      <c r="X134" s="1" t="s">
        <v>624</v>
      </c>
      <c r="Y134" t="s">
        <v>1831</v>
      </c>
      <c r="Z134" s="3">
        <v>0.45</v>
      </c>
      <c r="AK134" t="s">
        <v>1829</v>
      </c>
      <c r="AL134" t="s">
        <v>1829</v>
      </c>
      <c r="AM134">
        <v>1</v>
      </c>
    </row>
    <row r="135" spans="1:39" x14ac:dyDescent="0.35">
      <c r="A135" s="6" t="e">
        <f>IF('Coach Card'!$T$5="",IF($B$1="Solo",IF(L134="","",L134),IF($B$1="MSolo",IF(O134="","",O134),IF($B$1="Duet",IF(R134="","",R134),IF($B$1="Mixed",IF(U134="","",U134),IF(X134="","",X134))))),IF($B$1="Solo",IF(L634="","",L634),IF($B$1="MSolo",IF(L634="","",L634),IF($B$1="Duet",IF(O634="","",O634),IF($B$1="Mixed",IF(R634="","",R634),IF(U634="","",U634))))))</f>
        <v>#N/A</v>
      </c>
      <c r="B135" s="3" t="e">
        <f>IF('Coach Card'!$T$5="",IF($B$1="Solo",IF(M134="","",M134),IF($B$1="MSolo",IF(P134="","",P134),IF($B$1="Duet",IF(S134="","",S134),IF($B$1="Mixed",IF(V134="","",V134),IF(Y134="","",Y134))))),IF($B$1="Solo",IF(M634="","",M634),IF($B$1="MSolo",IF(M634="","",M634),IF($B$1="Duet",IF(P634="","",P634),IF($B$1="Mixed",IF(S634="","",S634),IF(V634="","",V634))))))</f>
        <v>#N/A</v>
      </c>
      <c r="C135" s="3" t="e">
        <f>IF('Coach Card'!$T$5="",IF($B$1="Solo",IF(N134="","",N134),IF($B$1="MSolo",IF(Q134="","",Q134),IF($B$1="Duet",IF(T134="","",T134),IF($B$1="Mixed",IF(W134="","",W134),IF(Z134="","",Z134))))),IF($B$1="Solo",IF(N634="","",N634),IF($B$1="MSolo",IF(N634="","",N634),IF($B$1="Duet",IF(Q634="","",Q634),IF($B$1="Mixed",IF(T634="","",T634),IF(W634="","",W634))))))</f>
        <v>#N/A</v>
      </c>
      <c r="D135" s="3" t="e">
        <f>IF('Coach Card'!$T$5="",IF($D$1="Team",IF(AG134="","",AG134),""),IF($D$1="Team",IF(AD634="","",AD634),""))</f>
        <v>#N/A</v>
      </c>
      <c r="E135" s="3" t="e">
        <f>IF('Coach Card'!$T$5="",IF($D$1="Team",IF(AH134="","",AH134),""),IF($D$1="Team",IF(AE634="","",AE634),""))</f>
        <v>#N/A</v>
      </c>
      <c r="L135" s="1" t="s">
        <v>624</v>
      </c>
      <c r="M135" t="s">
        <v>1699</v>
      </c>
      <c r="N135" s="3">
        <v>0.5</v>
      </c>
      <c r="O135" s="1" t="s">
        <v>624</v>
      </c>
      <c r="P135" t="s">
        <v>1699</v>
      </c>
      <c r="Q135" s="3">
        <v>0.5</v>
      </c>
      <c r="R135" s="1" t="s">
        <v>624</v>
      </c>
      <c r="S135" t="s">
        <v>1699</v>
      </c>
      <c r="T135" s="3">
        <v>0.5</v>
      </c>
      <c r="U135" s="1" t="s">
        <v>624</v>
      </c>
      <c r="V135" t="s">
        <v>1699</v>
      </c>
      <c r="W135" s="3">
        <v>0.5</v>
      </c>
      <c r="X135" s="1" t="s">
        <v>624</v>
      </c>
      <c r="Y135" t="s">
        <v>1699</v>
      </c>
      <c r="Z135" s="3">
        <v>0.5</v>
      </c>
      <c r="AK135" t="s">
        <v>1830</v>
      </c>
      <c r="AL135" t="s">
        <v>1830</v>
      </c>
      <c r="AM135">
        <v>1</v>
      </c>
    </row>
    <row r="136" spans="1:39" x14ac:dyDescent="0.35">
      <c r="A136" s="6" t="e">
        <f>IF('Coach Card'!$T$5="",IF($B$1="Solo",IF(L135="","",L135),IF($B$1="MSolo",IF(O135="","",O135),IF($B$1="Duet",IF(R135="","",R135),IF($B$1="Mixed",IF(U135="","",U135),IF(X135="","",X135))))),IF($B$1="Solo",IF(L635="","",L635),IF($B$1="MSolo",IF(L635="","",L635),IF($B$1="Duet",IF(O635="","",O635),IF($B$1="Mixed",IF(R635="","",R635),IF(U635="","",U635))))))</f>
        <v>#N/A</v>
      </c>
      <c r="B136" s="3" t="e">
        <f>IF('Coach Card'!$T$5="",IF($B$1="Solo",IF(M135="","",M135),IF($B$1="MSolo",IF(P135="","",P135),IF($B$1="Duet",IF(S135="","",S135),IF($B$1="Mixed",IF(V135="","",V135),IF(Y135="","",Y135))))),IF($B$1="Solo",IF(M635="","",M635),IF($B$1="MSolo",IF(M635="","",M635),IF($B$1="Duet",IF(P635="","",P635),IF($B$1="Mixed",IF(S635="","",S635),IF(V635="","",V635))))))</f>
        <v>#N/A</v>
      </c>
      <c r="C136" s="3" t="e">
        <f>IF('Coach Card'!$T$5="",IF($B$1="Solo",IF(N135="","",N135),IF($B$1="MSolo",IF(Q135="","",Q135),IF($B$1="Duet",IF(T135="","",T135),IF($B$1="Mixed",IF(W135="","",W135),IF(Z135="","",Z135))))),IF($B$1="Solo",IF(N635="","",N635),IF($B$1="MSolo",IF(N635="","",N635),IF($B$1="Duet",IF(Q635="","",Q635),IF($B$1="Mixed",IF(T635="","",T635),IF(W635="","",W635))))))</f>
        <v>#N/A</v>
      </c>
      <c r="D136" s="3" t="e">
        <f>IF('Coach Card'!$T$5="",IF($D$1="Team",IF(AG135="","",AG135),""),IF($D$1="Team",IF(AD635="","",AD635),""))</f>
        <v>#N/A</v>
      </c>
      <c r="E136" s="3" t="e">
        <f>IF('Coach Card'!$T$5="",IF($D$1="Team",IF(AH135="","",AH135),""),IF($D$1="Team",IF(AE635="","",AE635),""))</f>
        <v>#N/A</v>
      </c>
      <c r="L136" s="1" t="s">
        <v>624</v>
      </c>
      <c r="M136" t="s">
        <v>1832</v>
      </c>
      <c r="N136" s="3">
        <v>0.65</v>
      </c>
      <c r="O136" s="1" t="s">
        <v>624</v>
      </c>
      <c r="P136" t="s">
        <v>1832</v>
      </c>
      <c r="Q136" s="3">
        <v>0.65</v>
      </c>
      <c r="R136" s="1" t="s">
        <v>624</v>
      </c>
      <c r="S136" t="s">
        <v>1832</v>
      </c>
      <c r="T136" s="3">
        <v>0.65</v>
      </c>
      <c r="U136" s="1" t="s">
        <v>624</v>
      </c>
      <c r="V136" t="s">
        <v>1832</v>
      </c>
      <c r="W136" s="3">
        <v>0.65</v>
      </c>
      <c r="X136" s="1" t="s">
        <v>624</v>
      </c>
      <c r="Y136" t="s">
        <v>1832</v>
      </c>
      <c r="Z136" s="3">
        <v>0.65</v>
      </c>
      <c r="AK136" t="s">
        <v>1831</v>
      </c>
      <c r="AL136" t="s">
        <v>1831</v>
      </c>
      <c r="AM136">
        <v>1</v>
      </c>
    </row>
    <row r="137" spans="1:39" x14ac:dyDescent="0.35">
      <c r="A137" s="6" t="e">
        <f>IF('Coach Card'!$T$5="",IF($B$1="Solo",IF(L136="","",L136),IF($B$1="MSolo",IF(O136="","",O136),IF($B$1="Duet",IF(R136="","",R136),IF($B$1="Mixed",IF(U136="","",U136),IF(X136="","",X136))))),IF($B$1="Solo",IF(L636="","",L636),IF($B$1="MSolo",IF(L636="","",L636),IF($B$1="Duet",IF(O636="","",O636),IF($B$1="Mixed",IF(R636="","",R636),IF(U636="","",U636))))))</f>
        <v>#N/A</v>
      </c>
      <c r="B137" s="3" t="e">
        <f>IF('Coach Card'!$T$5="",IF($B$1="Solo",IF(M136="","",M136),IF($B$1="MSolo",IF(P136="","",P136),IF($B$1="Duet",IF(S136="","",S136),IF($B$1="Mixed",IF(V136="","",V136),IF(Y136="","",Y136))))),IF($B$1="Solo",IF(M636="","",M636),IF($B$1="MSolo",IF(M636="","",M636),IF($B$1="Duet",IF(P636="","",P636),IF($B$1="Mixed",IF(S636="","",S636),IF(V636="","",V636))))))</f>
        <v>#N/A</v>
      </c>
      <c r="C137" s="3" t="e">
        <f>IF('Coach Card'!$T$5="",IF($B$1="Solo",IF(N136="","",N136),IF($B$1="MSolo",IF(Q136="","",Q136),IF($B$1="Duet",IF(T136="","",T136),IF($B$1="Mixed",IF(W136="","",W136),IF(Z136="","",Z136))))),IF($B$1="Solo",IF(N636="","",N636),IF($B$1="MSolo",IF(N636="","",N636),IF($B$1="Duet",IF(Q636="","",Q636),IF($B$1="Mixed",IF(T636="","",T636),IF(W636="","",W636))))))</f>
        <v>#N/A</v>
      </c>
      <c r="D137" s="3" t="e">
        <f>IF('Coach Card'!$T$5="",IF($D$1="Team",IF(AG136="","",AG136),""),IF($D$1="Team",IF(AD636="","",AD636),""))</f>
        <v>#N/A</v>
      </c>
      <c r="E137" s="3" t="e">
        <f>IF('Coach Card'!$T$5="",IF($D$1="Team",IF(AH136="","",AH136),""),IF($D$1="Team",IF(AE636="","",AE636),""))</f>
        <v>#N/A</v>
      </c>
      <c r="L137" s="1" t="s">
        <v>624</v>
      </c>
      <c r="M137" t="s">
        <v>1833</v>
      </c>
      <c r="N137" s="3">
        <v>0.65</v>
      </c>
      <c r="O137" s="1" t="s">
        <v>624</v>
      </c>
      <c r="P137" t="s">
        <v>1833</v>
      </c>
      <c r="Q137" s="3">
        <v>0.65</v>
      </c>
      <c r="R137" s="1" t="s">
        <v>624</v>
      </c>
      <c r="S137" t="s">
        <v>1833</v>
      </c>
      <c r="T137" s="3">
        <v>0.65</v>
      </c>
      <c r="U137" s="1" t="s">
        <v>624</v>
      </c>
      <c r="V137" t="s">
        <v>1833</v>
      </c>
      <c r="W137" s="3">
        <v>0.65</v>
      </c>
      <c r="X137" s="1" t="s">
        <v>624</v>
      </c>
      <c r="Y137" t="s">
        <v>1833</v>
      </c>
      <c r="Z137" s="3">
        <v>0.65</v>
      </c>
      <c r="AK137" t="s">
        <v>1699</v>
      </c>
      <c r="AL137" t="s">
        <v>1699</v>
      </c>
      <c r="AM137">
        <v>1</v>
      </c>
    </row>
    <row r="138" spans="1:39" x14ac:dyDescent="0.35">
      <c r="A138" s="6" t="e">
        <f>IF('Coach Card'!$T$5="",IF($B$1="Solo",IF(L137="","",L137),IF($B$1="MSolo",IF(O137="","",O137),IF($B$1="Duet",IF(R137="","",R137),IF($B$1="Mixed",IF(U137="","",U137),IF(X137="","",X137))))),IF($B$1="Solo",IF(L637="","",L637),IF($B$1="MSolo",IF(L637="","",L637),IF($B$1="Duet",IF(O637="","",O637),IF($B$1="Mixed",IF(R637="","",R637),IF(U637="","",U637))))))</f>
        <v>#N/A</v>
      </c>
      <c r="B138" s="3" t="e">
        <f>IF('Coach Card'!$T$5="",IF($B$1="Solo",IF(M137="","",M137),IF($B$1="MSolo",IF(P137="","",P137),IF($B$1="Duet",IF(S137="","",S137),IF($B$1="Mixed",IF(V137="","",V137),IF(Y137="","",Y137))))),IF($B$1="Solo",IF(M637="","",M637),IF($B$1="MSolo",IF(M637="","",M637),IF($B$1="Duet",IF(P637="","",P637),IF($B$1="Mixed",IF(S637="","",S637),IF(V637="","",V637))))))</f>
        <v>#N/A</v>
      </c>
      <c r="C138" s="3" t="e">
        <f>IF('Coach Card'!$T$5="",IF($B$1="Solo",IF(N137="","",N137),IF($B$1="MSolo",IF(Q137="","",Q137),IF($B$1="Duet",IF(T137="","",T137),IF($B$1="Mixed",IF(W137="","",W137),IF(Z137="","",Z137))))),IF($B$1="Solo",IF(N637="","",N637),IF($B$1="MSolo",IF(N637="","",N637),IF($B$1="Duet",IF(Q637="","",Q637),IF($B$1="Mixed",IF(T637="","",T637),IF(W637="","",W637))))))</f>
        <v>#N/A</v>
      </c>
      <c r="D138" s="3" t="e">
        <f>IF('Coach Card'!$T$5="",IF($D$1="Team",IF(AG137="","",AG137),""),IF($D$1="Team",IF(AD637="","",AD637),""))</f>
        <v>#N/A</v>
      </c>
      <c r="E138" s="3" t="e">
        <f>IF('Coach Card'!$T$5="",IF($D$1="Team",IF(AH137="","",AH137),""),IF($D$1="Team",IF(AE637="","",AE637),""))</f>
        <v>#N/A</v>
      </c>
      <c r="L138" s="1" t="s">
        <v>624</v>
      </c>
      <c r="M138" t="s">
        <v>1700</v>
      </c>
      <c r="N138" s="3">
        <v>0.75</v>
      </c>
      <c r="O138" s="1" t="s">
        <v>624</v>
      </c>
      <c r="P138" t="s">
        <v>1700</v>
      </c>
      <c r="Q138" s="3">
        <v>0.75</v>
      </c>
      <c r="R138" s="1" t="s">
        <v>624</v>
      </c>
      <c r="S138" t="s">
        <v>1700</v>
      </c>
      <c r="T138" s="3">
        <v>0.75</v>
      </c>
      <c r="U138" s="1" t="s">
        <v>624</v>
      </c>
      <c r="V138" t="s">
        <v>1700</v>
      </c>
      <c r="W138" s="3">
        <v>0.75</v>
      </c>
      <c r="X138" s="1" t="s">
        <v>624</v>
      </c>
      <c r="Y138" t="s">
        <v>1700</v>
      </c>
      <c r="Z138" s="3">
        <v>0.75</v>
      </c>
      <c r="AK138" t="s">
        <v>1832</v>
      </c>
      <c r="AL138" t="s">
        <v>1832</v>
      </c>
      <c r="AM138">
        <v>1</v>
      </c>
    </row>
    <row r="139" spans="1:39" x14ac:dyDescent="0.35">
      <c r="A139" s="6" t="e">
        <f>IF('Coach Card'!$T$5="",IF($B$1="Solo",IF(L138="","",L138),IF($B$1="MSolo",IF(O138="","",O138),IF($B$1="Duet",IF(R138="","",R138),IF($B$1="Mixed",IF(U138="","",U138),IF(X138="","",X138))))),IF($B$1="Solo",IF(L638="","",L638),IF($B$1="MSolo",IF(L638="","",L638),IF($B$1="Duet",IF(O638="","",O638),IF($B$1="Mixed",IF(R638="","",R638),IF(U638="","",U638))))))</f>
        <v>#N/A</v>
      </c>
      <c r="B139" s="3" t="e">
        <f>IF('Coach Card'!$T$5="",IF($B$1="Solo",IF(M138="","",M138),IF($B$1="MSolo",IF(P138="","",P138),IF($B$1="Duet",IF(S138="","",S138),IF($B$1="Mixed",IF(V138="","",V138),IF(Y138="","",Y138))))),IF($B$1="Solo",IF(M638="","",M638),IF($B$1="MSolo",IF(M638="","",M638),IF($B$1="Duet",IF(P638="","",P638),IF($B$1="Mixed",IF(S638="","",S638),IF(V638="","",V638))))))</f>
        <v>#N/A</v>
      </c>
      <c r="C139" s="3" t="e">
        <f>IF('Coach Card'!$T$5="",IF($B$1="Solo",IF(N138="","",N138),IF($B$1="MSolo",IF(Q138="","",Q138),IF($B$1="Duet",IF(T138="","",T138),IF($B$1="Mixed",IF(W138="","",W138),IF(Z138="","",Z138))))),IF($B$1="Solo",IF(N638="","",N638),IF($B$1="MSolo",IF(N638="","",N638),IF($B$1="Duet",IF(Q638="","",Q638),IF($B$1="Mixed",IF(T638="","",T638),IF(W638="","",W638))))))</f>
        <v>#N/A</v>
      </c>
      <c r="D139" s="3" t="e">
        <f>IF('Coach Card'!$T$5="",IF($D$1="Team",IF(AG138="","",AG138),""),IF($D$1="Team",IF(AD638="","",AD638),""))</f>
        <v>#N/A</v>
      </c>
      <c r="E139" s="3" t="e">
        <f>IF('Coach Card'!$T$5="",IF($D$1="Team",IF(AH138="","",AH138),""),IF($D$1="Team",IF(AE638="","",AE638),""))</f>
        <v>#N/A</v>
      </c>
      <c r="L139" s="1" t="s">
        <v>624</v>
      </c>
      <c r="M139" t="s">
        <v>1701</v>
      </c>
      <c r="N139" s="3">
        <v>1</v>
      </c>
      <c r="O139" s="1" t="s">
        <v>624</v>
      </c>
      <c r="P139" t="s">
        <v>1701</v>
      </c>
      <c r="Q139" s="3">
        <v>1</v>
      </c>
      <c r="R139" s="1" t="s">
        <v>624</v>
      </c>
      <c r="S139" t="s">
        <v>1701</v>
      </c>
      <c r="T139" s="3">
        <v>1</v>
      </c>
      <c r="U139" s="1" t="s">
        <v>624</v>
      </c>
      <c r="V139" t="s">
        <v>1701</v>
      </c>
      <c r="W139" s="3">
        <v>1</v>
      </c>
      <c r="X139" s="1" t="s">
        <v>624</v>
      </c>
      <c r="Y139" t="s">
        <v>1701</v>
      </c>
      <c r="Z139" s="3">
        <v>1</v>
      </c>
      <c r="AK139" t="s">
        <v>1833</v>
      </c>
      <c r="AL139" t="s">
        <v>1833</v>
      </c>
      <c r="AM139">
        <v>1</v>
      </c>
    </row>
    <row r="140" spans="1:39" x14ac:dyDescent="0.35">
      <c r="A140" s="6" t="e">
        <f>IF('Coach Card'!$T$5="",IF($B$1="Solo",IF(L139="","",L139),IF($B$1="MSolo",IF(O139="","",O139),IF($B$1="Duet",IF(R139="","",R139),IF($B$1="Mixed",IF(U139="","",U139),IF(X139="","",X139))))),IF($B$1="Solo",IF(L639="","",L639),IF($B$1="MSolo",IF(L639="","",L639),IF($B$1="Duet",IF(O639="","",O639),IF($B$1="Mixed",IF(R639="","",R639),IF(U639="","",U639))))))</f>
        <v>#N/A</v>
      </c>
      <c r="B140" s="3" t="e">
        <f>IF('Coach Card'!$T$5="",IF($B$1="Solo",IF(M139="","",M139),IF($B$1="MSolo",IF(P139="","",P139),IF($B$1="Duet",IF(S139="","",S139),IF($B$1="Mixed",IF(V139="","",V139),IF(Y139="","",Y139))))),IF($B$1="Solo",IF(M639="","",M639),IF($B$1="MSolo",IF(M639="","",M639),IF($B$1="Duet",IF(P639="","",P639),IF($B$1="Mixed",IF(S639="","",S639),IF(V639="","",V639))))))</f>
        <v>#N/A</v>
      </c>
      <c r="C140" s="3" t="e">
        <f>IF('Coach Card'!$T$5="",IF($B$1="Solo",IF(N139="","",N139),IF($B$1="MSolo",IF(Q139="","",Q139),IF($B$1="Duet",IF(T139="","",T139),IF($B$1="Mixed",IF(W139="","",W139),IF(Z139="","",Z139))))),IF($B$1="Solo",IF(N639="","",N639),IF($B$1="MSolo",IF(N639="","",N639),IF($B$1="Duet",IF(Q639="","",Q639),IF($B$1="Mixed",IF(T639="","",T639),IF(W639="","",W639))))))</f>
        <v>#N/A</v>
      </c>
      <c r="D140" s="3" t="e">
        <f>IF('Coach Card'!$T$5="",IF($D$1="Team",IF(AG139="","",AG139),""),IF($D$1="Team",IF(AD639="","",AD639),""))</f>
        <v>#N/A</v>
      </c>
      <c r="E140" s="3" t="e">
        <f>IF('Coach Card'!$T$5="",IF($D$1="Team",IF(AH139="","",AH139),""),IF($D$1="Team",IF(AE639="","",AE639),""))</f>
        <v>#N/A</v>
      </c>
      <c r="O140" s="1"/>
      <c r="R140" s="1" t="s">
        <v>625</v>
      </c>
      <c r="S140" t="s">
        <v>1702</v>
      </c>
      <c r="T140" s="3">
        <v>0.1</v>
      </c>
      <c r="U140" s="1" t="s">
        <v>625</v>
      </c>
      <c r="V140" t="s">
        <v>1702</v>
      </c>
      <c r="W140" s="3">
        <v>0.1</v>
      </c>
      <c r="X140" s="1" t="s">
        <v>625</v>
      </c>
      <c r="Y140" t="s">
        <v>1702</v>
      </c>
      <c r="Z140" s="3">
        <v>0.1</v>
      </c>
      <c r="AK140" t="s">
        <v>1700</v>
      </c>
      <c r="AL140" t="s">
        <v>1700</v>
      </c>
      <c r="AM140">
        <v>1</v>
      </c>
    </row>
    <row r="141" spans="1:39" x14ac:dyDescent="0.35">
      <c r="A141" s="6" t="e">
        <f>IF('Coach Card'!$T$5="",IF($B$1="Solo",IF(L140="","",L140),IF($B$1="MSolo",IF(O140="","",O140),IF($B$1="Duet",IF(R140="","",R140),IF($B$1="Mixed",IF(U140="","",U140),IF(X140="","",X140))))),IF($B$1="Solo",IF(L640="","",L640),IF($B$1="MSolo",IF(L640="","",L640),IF($B$1="Duet",IF(O640="","",O640),IF($B$1="Mixed",IF(R640="","",R640),IF(U640="","",U640))))))</f>
        <v>#N/A</v>
      </c>
      <c r="B141" s="3" t="e">
        <f>IF('Coach Card'!$T$5="",IF($B$1="Solo",IF(M140="","",M140),IF($B$1="MSolo",IF(P140="","",P140),IF($B$1="Duet",IF(S140="","",S140),IF($B$1="Mixed",IF(V140="","",V140),IF(Y140="","",Y140))))),IF($B$1="Solo",IF(M640="","",M640),IF($B$1="MSolo",IF(M640="","",M640),IF($B$1="Duet",IF(P640="","",P640),IF($B$1="Mixed",IF(S640="","",S640),IF(V640="","",V640))))))</f>
        <v>#N/A</v>
      </c>
      <c r="C141" s="3" t="e">
        <f>IF('Coach Card'!$T$5="",IF($B$1="Solo",IF(N140="","",N140),IF($B$1="MSolo",IF(Q140="","",Q140),IF($B$1="Duet",IF(T140="","",T140),IF($B$1="Mixed",IF(W140="","",W140),IF(Z140="","",Z140))))),IF($B$1="Solo",IF(N640="","",N640),IF($B$1="MSolo",IF(N640="","",N640),IF($B$1="Duet",IF(Q640="","",Q640),IF($B$1="Mixed",IF(T640="","",T640),IF(W640="","",W640))))))</f>
        <v>#N/A</v>
      </c>
      <c r="D141" s="3" t="e">
        <f>IF('Coach Card'!$T$5="",IF($D$1="Team",IF(AG140="","",AG140),""),IF($D$1="Team",IF(AD640="","",AD640),""))</f>
        <v>#N/A</v>
      </c>
      <c r="E141" s="3" t="e">
        <f>IF('Coach Card'!$T$5="",IF($D$1="Team",IF(AH140="","",AH140),""),IF($D$1="Team",IF(AE640="","",AE640),""))</f>
        <v>#N/A</v>
      </c>
      <c r="O141" s="1"/>
      <c r="R141" s="1" t="s">
        <v>625</v>
      </c>
      <c r="S141" t="s">
        <v>1834</v>
      </c>
      <c r="T141" s="3">
        <v>0.2</v>
      </c>
      <c r="U141" s="1" t="s">
        <v>625</v>
      </c>
      <c r="V141" t="s">
        <v>1834</v>
      </c>
      <c r="W141" s="3">
        <v>0.2</v>
      </c>
      <c r="X141" s="1" t="s">
        <v>625</v>
      </c>
      <c r="Y141" t="s">
        <v>1703</v>
      </c>
      <c r="Z141" s="3">
        <v>0.2</v>
      </c>
      <c r="AK141" t="s">
        <v>1701</v>
      </c>
      <c r="AL141" t="s">
        <v>1701</v>
      </c>
      <c r="AM141">
        <v>1</v>
      </c>
    </row>
    <row r="142" spans="1:39" x14ac:dyDescent="0.35">
      <c r="A142" s="6" t="e">
        <f>IF('Coach Card'!$T$5="",IF($B$1="Solo",IF(L141="","",L141),IF($B$1="MSolo",IF(O141="","",O141),IF($B$1="Duet",IF(R141="","",R141),IF($B$1="Mixed",IF(U141="","",U141),IF(X141="","",X141))))),IF($B$1="Solo",IF(L641="","",L641),IF($B$1="MSolo",IF(L641="","",L641),IF($B$1="Duet",IF(O641="","",O641),IF($B$1="Mixed",IF(R641="","",R641),IF(U641="","",U641))))))</f>
        <v>#N/A</v>
      </c>
      <c r="B142" s="3" t="e">
        <f>IF('Coach Card'!$T$5="",IF($B$1="Solo",IF(M141="","",M141),IF($B$1="MSolo",IF(P141="","",P141),IF($B$1="Duet",IF(S141="","",S141),IF($B$1="Mixed",IF(V141="","",V141),IF(Y141="","",Y141))))),IF($B$1="Solo",IF(M641="","",M641),IF($B$1="MSolo",IF(M641="","",M641),IF($B$1="Duet",IF(P641="","",P641),IF($B$1="Mixed",IF(S641="","",S641),IF(V641="","",V641))))))</f>
        <v>#N/A</v>
      </c>
      <c r="C142" s="3" t="e">
        <f>IF('Coach Card'!$T$5="",IF($B$1="Solo",IF(N141="","",N141),IF($B$1="MSolo",IF(Q141="","",Q141),IF($B$1="Duet",IF(T141="","",T141),IF($B$1="Mixed",IF(W141="","",W141),IF(Z141="","",Z141))))),IF($B$1="Solo",IF(N641="","",N641),IF($B$1="MSolo",IF(N641="","",N641),IF($B$1="Duet",IF(Q641="","",Q641),IF($B$1="Mixed",IF(T641="","",T641),IF(W641="","",W641))))))</f>
        <v>#N/A</v>
      </c>
      <c r="D142" s="3" t="e">
        <f>IF('Coach Card'!$T$5="",IF($D$1="Team",IF(AG141="","",AG141),""),IF($D$1="Team",IF(AD641="","",AD641),""))</f>
        <v>#N/A</v>
      </c>
      <c r="E142" s="3" t="e">
        <f>IF('Coach Card'!$T$5="",IF($D$1="Team",IF(AH141="","",AH141),""),IF($D$1="Team",IF(AE641="","",AE641),""))</f>
        <v>#N/A</v>
      </c>
      <c r="O142" s="1"/>
      <c r="R142" s="1" t="s">
        <v>625</v>
      </c>
      <c r="S142" t="s">
        <v>1835</v>
      </c>
      <c r="T142" s="3">
        <v>0.2</v>
      </c>
      <c r="U142" s="1" t="s">
        <v>625</v>
      </c>
      <c r="V142" t="s">
        <v>1835</v>
      </c>
      <c r="W142" s="3">
        <v>0.2</v>
      </c>
      <c r="X142" s="1" t="s">
        <v>625</v>
      </c>
      <c r="Y142" t="s">
        <v>1834</v>
      </c>
      <c r="Z142" s="3">
        <v>0.2</v>
      </c>
      <c r="AK142" t="s">
        <v>1702</v>
      </c>
      <c r="AL142" t="s">
        <v>1702</v>
      </c>
      <c r="AM142">
        <v>1</v>
      </c>
    </row>
    <row r="143" spans="1:39" x14ac:dyDescent="0.35">
      <c r="A143" s="6" t="e">
        <f>IF('Coach Card'!$T$5="",IF($B$1="Solo",IF(L142="","",L142),IF($B$1="MSolo",IF(O142="","",O142),IF($B$1="Duet",IF(R142="","",R142),IF($B$1="Mixed",IF(U142="","",U142),IF(X142="","",X142))))),IF($B$1="Solo",IF(L642="","",L642),IF($B$1="MSolo",IF(L642="","",L642),IF($B$1="Duet",IF(O642="","",O642),IF($B$1="Mixed",IF(R642="","",R642),IF(U642="","",U642))))))</f>
        <v>#N/A</v>
      </c>
      <c r="B143" s="3" t="e">
        <f>IF('Coach Card'!$T$5="",IF($B$1="Solo",IF(M142="","",M142),IF($B$1="MSolo",IF(P142="","",P142),IF($B$1="Duet",IF(S142="","",S142),IF($B$1="Mixed",IF(V142="","",V142),IF(Y142="","",Y142))))),IF($B$1="Solo",IF(M642="","",M642),IF($B$1="MSolo",IF(M642="","",M642),IF($B$1="Duet",IF(P642="","",P642),IF($B$1="Mixed",IF(S642="","",S642),IF(V642="","",V642))))))</f>
        <v>#N/A</v>
      </c>
      <c r="C143" s="3" t="e">
        <f>IF('Coach Card'!$T$5="",IF($B$1="Solo",IF(N142="","",N142),IF($B$1="MSolo",IF(Q142="","",Q142),IF($B$1="Duet",IF(T142="","",T142),IF($B$1="Mixed",IF(W142="","",W142),IF(Z142="","",Z142))))),IF($B$1="Solo",IF(N642="","",N642),IF($B$1="MSolo",IF(N642="","",N642),IF($B$1="Duet",IF(Q642="","",Q642),IF($B$1="Mixed",IF(T642="","",T642),IF(W642="","",W642))))))</f>
        <v>#N/A</v>
      </c>
      <c r="D143" s="3" t="e">
        <f>IF('Coach Card'!$T$5="",IF($D$1="Team",IF(AG142="","",AG142),""),IF($D$1="Team",IF(AD642="","",AD642),""))</f>
        <v>#N/A</v>
      </c>
      <c r="E143" s="3" t="e">
        <f>IF('Coach Card'!$T$5="",IF($D$1="Team",IF(AH142="","",AH142),""),IF($D$1="Team",IF(AE642="","",AE642),""))</f>
        <v>#N/A</v>
      </c>
      <c r="O143" s="1"/>
      <c r="R143" s="1" t="s">
        <v>625</v>
      </c>
      <c r="S143" t="s">
        <v>1838</v>
      </c>
      <c r="T143" s="3">
        <v>0.3</v>
      </c>
      <c r="U143" s="1" t="s">
        <v>625</v>
      </c>
      <c r="V143" t="s">
        <v>1838</v>
      </c>
      <c r="W143" s="3">
        <v>0.3</v>
      </c>
      <c r="X143" s="1" t="s">
        <v>625</v>
      </c>
      <c r="Y143" t="s">
        <v>1836</v>
      </c>
      <c r="Z143" s="3">
        <v>0.3</v>
      </c>
      <c r="AK143" t="s">
        <v>1703</v>
      </c>
      <c r="AL143" t="s">
        <v>1703</v>
      </c>
      <c r="AM143">
        <v>1</v>
      </c>
    </row>
    <row r="144" spans="1:39" x14ac:dyDescent="0.35">
      <c r="A144" s="6" t="e">
        <f>IF('Coach Card'!$T$5="",IF($B$1="Solo",IF(L143="","",L143),IF($B$1="MSolo",IF(O143="","",O143),IF($B$1="Duet",IF(R143="","",R143),IF($B$1="Mixed",IF(U143="","",U143),IF(X143="","",X143))))),IF($B$1="Solo",IF(L643="","",L643),IF($B$1="MSolo",IF(L643="","",L643),IF($B$1="Duet",IF(O643="","",O643),IF($B$1="Mixed",IF(R643="","",R643),IF(U643="","",U643))))))</f>
        <v>#N/A</v>
      </c>
      <c r="B144" s="3" t="e">
        <f>IF('Coach Card'!$T$5="",IF($B$1="Solo",IF(M143="","",M143),IF($B$1="MSolo",IF(P143="","",P143),IF($B$1="Duet",IF(S143="","",S143),IF($B$1="Mixed",IF(V143="","",V143),IF(Y143="","",Y143))))),IF($B$1="Solo",IF(M643="","",M643),IF($B$1="MSolo",IF(M643="","",M643),IF($B$1="Duet",IF(P643="","",P643),IF($B$1="Mixed",IF(S643="","",S643),IF(V643="","",V643))))))</f>
        <v>#N/A</v>
      </c>
      <c r="C144" s="3" t="e">
        <f>IF('Coach Card'!$T$5="",IF($B$1="Solo",IF(N143="","",N143),IF($B$1="MSolo",IF(Q143="","",Q143),IF($B$1="Duet",IF(T143="","",T143),IF($B$1="Mixed",IF(W143="","",W143),IF(Z143="","",Z143))))),IF($B$1="Solo",IF(N643="","",N643),IF($B$1="MSolo",IF(N643="","",N643),IF($B$1="Duet",IF(Q643="","",Q643),IF($B$1="Mixed",IF(T643="","",T643),IF(W643="","",W643))))))</f>
        <v>#N/A</v>
      </c>
      <c r="D144" s="3" t="e">
        <f>IF('Coach Card'!$T$5="",IF($D$1="Team",IF(AG143="","",AG143),""),IF($D$1="Team",IF(AD643="","",AD643),""))</f>
        <v>#N/A</v>
      </c>
      <c r="E144" s="3" t="e">
        <f>IF('Coach Card'!$T$5="",IF($D$1="Team",IF(AH143="","",AH143),""),IF($D$1="Team",IF(AE643="","",AE643),""))</f>
        <v>#N/A</v>
      </c>
      <c r="O144" s="1"/>
      <c r="R144" s="1" t="s">
        <v>625</v>
      </c>
      <c r="S144" t="s">
        <v>1839</v>
      </c>
      <c r="T144" s="3">
        <v>0.3</v>
      </c>
      <c r="U144" s="1" t="s">
        <v>625</v>
      </c>
      <c r="V144" t="s">
        <v>1839</v>
      </c>
      <c r="W144" s="3">
        <v>0.3</v>
      </c>
      <c r="X144" s="1" t="s">
        <v>625</v>
      </c>
      <c r="Y144" t="s">
        <v>1835</v>
      </c>
      <c r="Z144" s="3">
        <v>0.2</v>
      </c>
      <c r="AK144" t="s">
        <v>1834</v>
      </c>
      <c r="AL144" t="s">
        <v>1834</v>
      </c>
      <c r="AM144">
        <v>1</v>
      </c>
    </row>
    <row r="145" spans="1:39" x14ac:dyDescent="0.35">
      <c r="A145" s="6" t="e">
        <f>IF('Coach Card'!$T$5="",IF($B$1="Solo",IF(L144="","",L144),IF($B$1="MSolo",IF(O144="","",O144),IF($B$1="Duet",IF(R144="","",R144),IF($B$1="Mixed",IF(U144="","",U144),IF(X144="","",X144))))),IF($B$1="Solo",IF(L644="","",L644),IF($B$1="MSolo",IF(L644="","",L644),IF($B$1="Duet",IF(O644="","",O644),IF($B$1="Mixed",IF(R644="","",R644),IF(U644="","",U644))))))</f>
        <v>#N/A</v>
      </c>
      <c r="B145" s="3" t="e">
        <f>IF('Coach Card'!$T$5="",IF($B$1="Solo",IF(M144="","",M144),IF($B$1="MSolo",IF(P144="","",P144),IF($B$1="Duet",IF(S144="","",S144),IF($B$1="Mixed",IF(V144="","",V144),IF(Y144="","",Y144))))),IF($B$1="Solo",IF(M644="","",M644),IF($B$1="MSolo",IF(M644="","",M644),IF($B$1="Duet",IF(P644="","",P644),IF($B$1="Mixed",IF(S644="","",S644),IF(V644="","",V644))))))</f>
        <v>#N/A</v>
      </c>
      <c r="C145" s="3" t="e">
        <f>IF('Coach Card'!$T$5="",IF($B$1="Solo",IF(N144="","",N144),IF($B$1="MSolo",IF(Q144="","",Q144),IF($B$1="Duet",IF(T144="","",T144),IF($B$1="Mixed",IF(W144="","",W144),IF(Z144="","",Z144))))),IF($B$1="Solo",IF(N644="","",N644),IF($B$1="MSolo",IF(N644="","",N644),IF($B$1="Duet",IF(Q644="","",Q644),IF($B$1="Mixed",IF(T644="","",T644),IF(W644="","",W644))))))</f>
        <v>#N/A</v>
      </c>
      <c r="D145" s="3" t="e">
        <f>IF('Coach Card'!$T$5="",IF($D$1="Team",IF(AG144="","",AG144),""),IF($D$1="Team",IF(AD644="","",AD644),""))</f>
        <v>#N/A</v>
      </c>
      <c r="E145" s="3" t="e">
        <f>IF('Coach Card'!$T$5="",IF($D$1="Team",IF(AH144="","",AH144),""),IF($D$1="Team",IF(AE644="","",AE644),""))</f>
        <v>#N/A</v>
      </c>
      <c r="O145" s="1"/>
      <c r="R145" s="1" t="s">
        <v>625</v>
      </c>
      <c r="S145" t="s">
        <v>1840</v>
      </c>
      <c r="T145" s="3">
        <v>0.3</v>
      </c>
      <c r="U145" s="1" t="s">
        <v>625</v>
      </c>
      <c r="V145" t="s">
        <v>1840</v>
      </c>
      <c r="W145" s="3">
        <v>0.3</v>
      </c>
      <c r="X145" s="1" t="s">
        <v>625</v>
      </c>
      <c r="Y145" t="s">
        <v>1837</v>
      </c>
      <c r="Z145" s="3">
        <v>0.3</v>
      </c>
      <c r="AK145" t="s">
        <v>1836</v>
      </c>
      <c r="AL145" t="s">
        <v>1836</v>
      </c>
      <c r="AM145">
        <v>1</v>
      </c>
    </row>
    <row r="146" spans="1:39" x14ac:dyDescent="0.35">
      <c r="A146" s="6" t="e">
        <f>IF('Coach Card'!$T$5="",IF($B$1="Solo",IF(L145="","",L145),IF($B$1="MSolo",IF(O145="","",O145),IF($B$1="Duet",IF(R145="","",R145),IF($B$1="Mixed",IF(U145="","",U145),IF(X145="","",X145))))),IF($B$1="Solo",IF(L645="","",L645),IF($B$1="MSolo",IF(L645="","",L645),IF($B$1="Duet",IF(O645="","",O645),IF($B$1="Mixed",IF(R645="","",R645),IF(U645="","",U645))))))</f>
        <v>#N/A</v>
      </c>
      <c r="B146" s="3" t="e">
        <f>IF('Coach Card'!$T$5="",IF($B$1="Solo",IF(M145="","",M145),IF($B$1="MSolo",IF(P145="","",P145),IF($B$1="Duet",IF(S145="","",S145),IF($B$1="Mixed",IF(V145="","",V145),IF(Y145="","",Y145))))),IF($B$1="Solo",IF(M645="","",M645),IF($B$1="MSolo",IF(M645="","",M645),IF($B$1="Duet",IF(P645="","",P645),IF($B$1="Mixed",IF(S645="","",S645),IF(V645="","",V645))))))</f>
        <v>#N/A</v>
      </c>
      <c r="C146" s="3" t="e">
        <f>IF('Coach Card'!$T$5="",IF($B$1="Solo",IF(N145="","",N145),IF($B$1="MSolo",IF(Q145="","",Q145),IF($B$1="Duet",IF(T145="","",T145),IF($B$1="Mixed",IF(W145="","",W145),IF(Z145="","",Z145))))),IF($B$1="Solo",IF(N645="","",N645),IF($B$1="MSolo",IF(N645="","",N645),IF($B$1="Duet",IF(Q645="","",Q645),IF($B$1="Mixed",IF(T645="","",T645),IF(W645="","",W645))))))</f>
        <v>#N/A</v>
      </c>
      <c r="D146" s="3" t="e">
        <f>IF('Coach Card'!$T$5="",IF($D$1="Team",IF(AG145="","",AG145),""),IF($D$1="Team",IF(AD645="","",AD645),""))</f>
        <v>#N/A</v>
      </c>
      <c r="E146" s="3" t="e">
        <f>IF('Coach Card'!$T$5="",IF($D$1="Team",IF(AH145="","",AH145),""),IF($D$1="Team",IF(AE645="","",AE645),""))</f>
        <v>#N/A</v>
      </c>
      <c r="O146" s="1"/>
      <c r="R146" s="1" t="s">
        <v>625</v>
      </c>
      <c r="S146" t="s">
        <v>60</v>
      </c>
      <c r="T146" s="3">
        <v>0.4</v>
      </c>
      <c r="U146" s="1" t="s">
        <v>625</v>
      </c>
      <c r="V146" t="s">
        <v>60</v>
      </c>
      <c r="W146" s="3">
        <v>0.4</v>
      </c>
      <c r="X146" s="1" t="s">
        <v>625</v>
      </c>
      <c r="Y146" t="s">
        <v>1838</v>
      </c>
      <c r="Z146" s="3">
        <v>0.3</v>
      </c>
      <c r="AK146" t="s">
        <v>1835</v>
      </c>
      <c r="AL146" t="s">
        <v>1835</v>
      </c>
      <c r="AM146">
        <v>1</v>
      </c>
    </row>
    <row r="147" spans="1:39" x14ac:dyDescent="0.35">
      <c r="A147" s="6" t="e">
        <f>IF('Coach Card'!$T$5="",IF($B$1="Solo",IF(L146="","",L146),IF($B$1="MSolo",IF(O146="","",O146),IF($B$1="Duet",IF(R146="","",R146),IF($B$1="Mixed",IF(U146="","",U146),IF(X146="","",X146))))),IF($B$1="Solo",IF(L646="","",L646),IF($B$1="MSolo",IF(L646="","",L646),IF($B$1="Duet",IF(O646="","",O646),IF($B$1="Mixed",IF(R646="","",R646),IF(U646="","",U646))))))</f>
        <v>#N/A</v>
      </c>
      <c r="B147" s="3" t="e">
        <f>IF('Coach Card'!$T$5="",IF($B$1="Solo",IF(M146="","",M146),IF($B$1="MSolo",IF(P146="","",P146),IF($B$1="Duet",IF(S146="","",S146),IF($B$1="Mixed",IF(V146="","",V146),IF(Y146="","",Y146))))),IF($B$1="Solo",IF(M646="","",M646),IF($B$1="MSolo",IF(M646="","",M646),IF($B$1="Duet",IF(P646="","",P646),IF($B$1="Mixed",IF(S646="","",S646),IF(V646="","",V646))))))</f>
        <v>#N/A</v>
      </c>
      <c r="C147" s="3" t="e">
        <f>IF('Coach Card'!$T$5="",IF($B$1="Solo",IF(N146="","",N146),IF($B$1="MSolo",IF(Q146="","",Q146),IF($B$1="Duet",IF(T146="","",T146),IF($B$1="Mixed",IF(W146="","",W146),IF(Z146="","",Z146))))),IF($B$1="Solo",IF(N646="","",N646),IF($B$1="MSolo",IF(N646="","",N646),IF($B$1="Duet",IF(Q646="","",Q646),IF($B$1="Mixed",IF(T646="","",T646),IF(W646="","",W646))))))</f>
        <v>#N/A</v>
      </c>
      <c r="D147" s="3" t="e">
        <f>IF('Coach Card'!$T$5="",IF($D$1="Team",IF(AG146="","",AG146),""),IF($D$1="Team",IF(AD646="","",AD646),""))</f>
        <v>#N/A</v>
      </c>
      <c r="E147" s="3" t="e">
        <f>IF('Coach Card'!$T$5="",IF($D$1="Team",IF(AH146="","",AH146),""),IF($D$1="Team",IF(AE646="","",AE646),""))</f>
        <v>#N/A</v>
      </c>
      <c r="O147" s="1"/>
      <c r="R147" s="1" t="s">
        <v>625</v>
      </c>
      <c r="S147" t="s">
        <v>61</v>
      </c>
      <c r="T147" s="3">
        <v>0.5</v>
      </c>
      <c r="U147" s="1" t="s">
        <v>625</v>
      </c>
      <c r="V147" t="s">
        <v>61</v>
      </c>
      <c r="W147" s="3">
        <v>0.5</v>
      </c>
      <c r="X147" s="1" t="s">
        <v>625</v>
      </c>
      <c r="Y147" t="s">
        <v>1841</v>
      </c>
      <c r="Z147" s="3">
        <v>0.4</v>
      </c>
      <c r="AK147" t="s">
        <v>1837</v>
      </c>
      <c r="AL147" t="s">
        <v>1837</v>
      </c>
      <c r="AM147">
        <v>1</v>
      </c>
    </row>
    <row r="148" spans="1:39" x14ac:dyDescent="0.35">
      <c r="A148" s="6" t="e">
        <f>IF('Coach Card'!$T$5="",IF($B$1="Solo",IF(L147="","",L147),IF($B$1="MSolo",IF(O147="","",O147),IF($B$1="Duet",IF(R147="","",R147),IF($B$1="Mixed",IF(U147="","",U147),IF(X147="","",X147))))),IF($B$1="Solo",IF(L647="","",L647),IF($B$1="MSolo",IF(L647="","",L647),IF($B$1="Duet",IF(O647="","",O647),IF($B$1="Mixed",IF(R647="","",R647),IF(U647="","",U647))))))</f>
        <v>#N/A</v>
      </c>
      <c r="B148" s="3" t="e">
        <f>IF('Coach Card'!$T$5="",IF($B$1="Solo",IF(M147="","",M147),IF($B$1="MSolo",IF(P147="","",P147),IF($B$1="Duet",IF(S147="","",S147),IF($B$1="Mixed",IF(V147="","",V147),IF(Y147="","",Y147))))),IF($B$1="Solo",IF(M647="","",M647),IF($B$1="MSolo",IF(M647="","",M647),IF($B$1="Duet",IF(P647="","",P647),IF($B$1="Mixed",IF(S647="","",S647),IF(V647="","",V647))))))</f>
        <v>#N/A</v>
      </c>
      <c r="C148" s="3" t="e">
        <f>IF('Coach Card'!$T$5="",IF($B$1="Solo",IF(N147="","",N147),IF($B$1="MSolo",IF(Q147="","",Q147),IF($B$1="Duet",IF(T147="","",T147),IF($B$1="Mixed",IF(W147="","",W147),IF(Z147="","",Z147))))),IF($B$1="Solo",IF(N647="","",N647),IF($B$1="MSolo",IF(N647="","",N647),IF($B$1="Duet",IF(Q647="","",Q647),IF($B$1="Mixed",IF(T647="","",T647),IF(W647="","",W647))))))</f>
        <v>#N/A</v>
      </c>
      <c r="D148" s="3" t="e">
        <f>IF('Coach Card'!$T$5="",IF($D$1="Team",IF(AG147="","",AG147),""),IF($D$1="Team",IF(AD647="","",AD647),""))</f>
        <v>#N/A</v>
      </c>
      <c r="E148" s="3" t="e">
        <f>IF('Coach Card'!$T$5="",IF($D$1="Team",IF(AH147="","",AH147),""),IF($D$1="Team",IF(AE647="","",AE647),""))</f>
        <v>#N/A</v>
      </c>
      <c r="O148" s="1"/>
      <c r="R148" s="1" t="s">
        <v>625</v>
      </c>
      <c r="S148" t="s">
        <v>62</v>
      </c>
      <c r="T148" s="3">
        <v>1</v>
      </c>
      <c r="U148" s="1" t="s">
        <v>625</v>
      </c>
      <c r="V148" t="s">
        <v>62</v>
      </c>
      <c r="W148" s="3">
        <v>1</v>
      </c>
      <c r="X148" s="1" t="s">
        <v>625</v>
      </c>
      <c r="Y148" t="s">
        <v>1839</v>
      </c>
      <c r="Z148" s="3">
        <v>0.3</v>
      </c>
      <c r="AK148" t="s">
        <v>1838</v>
      </c>
      <c r="AL148" t="s">
        <v>1838</v>
      </c>
      <c r="AM148">
        <v>1</v>
      </c>
    </row>
    <row r="149" spans="1:39" x14ac:dyDescent="0.35">
      <c r="A149" s="6" t="e">
        <f>IF('Coach Card'!$T$5="",IF($B$1="Solo",IF(L148="","",L148),IF($B$1="MSolo",IF(O148="","",O148),IF($B$1="Duet",IF(R148="","",R148),IF($B$1="Mixed",IF(U148="","",U148),IF(X148="","",X148))))),IF($B$1="Solo",IF(L648="","",L648),IF($B$1="MSolo",IF(L648="","",L648),IF($B$1="Duet",IF(O648="","",O648),IF($B$1="Mixed",IF(R648="","",R648),IF(U648="","",U648))))))</f>
        <v>#N/A</v>
      </c>
      <c r="B149" s="3" t="e">
        <f>IF('Coach Card'!$T$5="",IF($B$1="Solo",IF(M148="","",M148),IF($B$1="MSolo",IF(P148="","",P148),IF($B$1="Duet",IF(S148="","",S148),IF($B$1="Mixed",IF(V148="","",V148),IF(Y148="","",Y148))))),IF($B$1="Solo",IF(M648="","",M648),IF($B$1="MSolo",IF(M648="","",M648),IF($B$1="Duet",IF(P648="","",P648),IF($B$1="Mixed",IF(S648="","",S648),IF(V648="","",V648))))))</f>
        <v>#N/A</v>
      </c>
      <c r="C149" s="3" t="e">
        <f>IF('Coach Card'!$T$5="",IF($B$1="Solo",IF(N148="","",N148),IF($B$1="MSolo",IF(Q148="","",Q148),IF($B$1="Duet",IF(T148="","",T148),IF($B$1="Mixed",IF(W148="","",W148),IF(Z148="","",Z148))))),IF($B$1="Solo",IF(N648="","",N648),IF($B$1="MSolo",IF(N648="","",N648),IF($B$1="Duet",IF(Q648="","",Q648),IF($B$1="Mixed",IF(T648="","",T648),IF(W648="","",W648))))))</f>
        <v>#N/A</v>
      </c>
      <c r="D149" s="3" t="e">
        <f>IF('Coach Card'!$T$5="",IF($D$1="Team",IF(AG148="","",AG148),""),IF($D$1="Team",IF(AD648="","",AD648),""))</f>
        <v>#N/A</v>
      </c>
      <c r="E149" s="3" t="e">
        <f>IF('Coach Card'!$T$5="",IF($D$1="Team",IF(AH148="","",AH148),""),IF($D$1="Team",IF(AE648="","",AE648),""))</f>
        <v>#N/A</v>
      </c>
      <c r="O149" s="1"/>
      <c r="R149" s="1" t="s">
        <v>625</v>
      </c>
      <c r="S149" t="s">
        <v>1844</v>
      </c>
      <c r="T149" s="3">
        <v>1.25</v>
      </c>
      <c r="U149" s="1" t="s">
        <v>625</v>
      </c>
      <c r="V149" t="s">
        <v>1844</v>
      </c>
      <c r="W149" s="3">
        <v>1.25</v>
      </c>
      <c r="X149" s="1" t="s">
        <v>625</v>
      </c>
      <c r="Y149" t="s">
        <v>1842</v>
      </c>
      <c r="Z149" s="3">
        <v>0.4</v>
      </c>
      <c r="AK149" t="s">
        <v>1841</v>
      </c>
      <c r="AL149" t="s">
        <v>1841</v>
      </c>
      <c r="AM149">
        <v>1</v>
      </c>
    </row>
    <row r="150" spans="1:39" x14ac:dyDescent="0.35">
      <c r="A150" s="6" t="e">
        <f>IF('Coach Card'!$T$5="",IF($B$1="Solo",IF(L149="","",L149),IF($B$1="MSolo",IF(O149="","",O149),IF($B$1="Duet",IF(R149="","",R149),IF($B$1="Mixed",IF(U149="","",U149),IF(X149="","",X149))))),IF($B$1="Solo",IF(L649="","",L649),IF($B$1="MSolo",IF(L649="","",L649),IF($B$1="Duet",IF(O649="","",O649),IF($B$1="Mixed",IF(R649="","",R649),IF(U649="","",U649))))))</f>
        <v>#N/A</v>
      </c>
      <c r="B150" s="3" t="e">
        <f>IF('Coach Card'!$T$5="",IF($B$1="Solo",IF(M149="","",M149),IF($B$1="MSolo",IF(P149="","",P149),IF($B$1="Duet",IF(S149="","",S149),IF($B$1="Mixed",IF(V149="","",V149),IF(Y149="","",Y149))))),IF($B$1="Solo",IF(M649="","",M649),IF($B$1="MSolo",IF(M649="","",M649),IF($B$1="Duet",IF(P649="","",P649),IF($B$1="Mixed",IF(S649="","",S649),IF(V649="","",V649))))))</f>
        <v>#N/A</v>
      </c>
      <c r="C150" s="3" t="e">
        <f>IF('Coach Card'!$T$5="",IF($B$1="Solo",IF(N149="","",N149),IF($B$1="MSolo",IF(Q149="","",Q149),IF($B$1="Duet",IF(T149="","",T149),IF($B$1="Mixed",IF(W149="","",W149),IF(Z149="","",Z149))))),IF($B$1="Solo",IF(N649="","",N649),IF($B$1="MSolo",IF(N649="","",N649),IF($B$1="Duet",IF(Q649="","",Q649),IF($B$1="Mixed",IF(T649="","",T649),IF(W649="","",W649))))))</f>
        <v>#N/A</v>
      </c>
      <c r="D150" s="3" t="e">
        <f>IF('Coach Card'!$T$5="",IF($D$1="Team",IF(AG149="","",AG149),""),IF($D$1="Team",IF(AD649="","",AD649),""))</f>
        <v>#N/A</v>
      </c>
      <c r="E150" s="3" t="e">
        <f>IF('Coach Card'!$T$5="",IF($D$1="Team",IF(AH149="","",AH149),""),IF($D$1="Team",IF(AE649="","",AE649),""))</f>
        <v>#N/A</v>
      </c>
      <c r="O150" s="1"/>
      <c r="R150" s="1" t="s">
        <v>625</v>
      </c>
      <c r="S150" t="s">
        <v>1845</v>
      </c>
      <c r="T150" s="3">
        <v>1.25</v>
      </c>
      <c r="U150" s="1" t="s">
        <v>625</v>
      </c>
      <c r="V150" t="s">
        <v>1845</v>
      </c>
      <c r="W150" s="3">
        <v>1.25</v>
      </c>
      <c r="X150" s="1" t="s">
        <v>625</v>
      </c>
      <c r="Y150" t="s">
        <v>1840</v>
      </c>
      <c r="Z150" s="3">
        <v>0.3</v>
      </c>
      <c r="AK150" t="s">
        <v>1839</v>
      </c>
      <c r="AL150" t="s">
        <v>1839</v>
      </c>
      <c r="AM150">
        <v>1</v>
      </c>
    </row>
    <row r="151" spans="1:39" x14ac:dyDescent="0.35">
      <c r="A151" s="6" t="e">
        <f>IF('Coach Card'!$T$5="",IF($B$1="Solo",IF(L150="","",L150),IF($B$1="MSolo",IF(O150="","",O150),IF($B$1="Duet",IF(R150="","",R150),IF($B$1="Mixed",IF(U150="","",U150),IF(X150="","",X150))))),IF($B$1="Solo",IF(L650="","",L650),IF($B$1="MSolo",IF(L650="","",L650),IF($B$1="Duet",IF(O650="","",O650),IF($B$1="Mixed",IF(R650="","",R650),IF(U650="","",U650))))))</f>
        <v>#N/A</v>
      </c>
      <c r="B151" s="3" t="e">
        <f>IF('Coach Card'!$T$5="",IF($B$1="Solo",IF(M150="","",M150),IF($B$1="MSolo",IF(P150="","",P150),IF($B$1="Duet",IF(S150="","",S150),IF($B$1="Mixed",IF(V150="","",V150),IF(Y150="","",Y150))))),IF($B$1="Solo",IF(M650="","",M650),IF($B$1="MSolo",IF(M650="","",M650),IF($B$1="Duet",IF(P650="","",P650),IF($B$1="Mixed",IF(S650="","",S650),IF(V650="","",V650))))))</f>
        <v>#N/A</v>
      </c>
      <c r="C151" s="3" t="e">
        <f>IF('Coach Card'!$T$5="",IF($B$1="Solo",IF(N150="","",N150),IF($B$1="MSolo",IF(Q150="","",Q150),IF($B$1="Duet",IF(T150="","",T150),IF($B$1="Mixed",IF(W150="","",W150),IF(Z150="","",Z150))))),IF($B$1="Solo",IF(N650="","",N650),IF($B$1="MSolo",IF(N650="","",N650),IF($B$1="Duet",IF(Q650="","",Q650),IF($B$1="Mixed",IF(T650="","",T650),IF(W650="","",W650))))))</f>
        <v>#N/A</v>
      </c>
      <c r="D151" s="3" t="e">
        <f>IF('Coach Card'!$T$5="",IF($D$1="Team",IF(AG150="","",AG150),""),IF($D$1="Team",IF(AD650="","",AD650),""))</f>
        <v>#N/A</v>
      </c>
      <c r="E151" s="3" t="e">
        <f>IF('Coach Card'!$T$5="",IF($D$1="Team",IF(AH150="","",AH150),""),IF($D$1="Team",IF(AE650="","",AE650),""))</f>
        <v>#N/A</v>
      </c>
      <c r="O151" s="1"/>
      <c r="R151" s="1" t="s">
        <v>625</v>
      </c>
      <c r="S151" t="s">
        <v>1704</v>
      </c>
      <c r="T151" s="3">
        <v>1.5</v>
      </c>
      <c r="U151" s="1" t="s">
        <v>625</v>
      </c>
      <c r="V151" t="s">
        <v>1704</v>
      </c>
      <c r="W151" s="3">
        <v>1.5</v>
      </c>
      <c r="X151" s="1" t="s">
        <v>625</v>
      </c>
      <c r="Y151" t="s">
        <v>1843</v>
      </c>
      <c r="Z151" s="3">
        <v>0.4</v>
      </c>
      <c r="AK151" t="s">
        <v>1842</v>
      </c>
      <c r="AL151" t="s">
        <v>1842</v>
      </c>
      <c r="AM151">
        <v>1</v>
      </c>
    </row>
    <row r="152" spans="1:39" x14ac:dyDescent="0.35">
      <c r="A152" s="6" t="e">
        <f>IF('Coach Card'!$T$5="",IF($B$1="Solo",IF(L151="","",L151),IF($B$1="MSolo",IF(O151="","",O151),IF($B$1="Duet",IF(R151="","",R151),IF($B$1="Mixed",IF(U151="","",U151),IF(X151="","",X151))))),IF($B$1="Solo",IF(L651="","",L651),IF($B$1="MSolo",IF(L651="","",L651),IF($B$1="Duet",IF(O651="","",O651),IF($B$1="Mixed",IF(R651="","",R651),IF(U651="","",U651))))))</f>
        <v>#N/A</v>
      </c>
      <c r="B152" s="3" t="e">
        <f>IF('Coach Card'!$T$5="",IF($B$1="Solo",IF(M151="","",M151),IF($B$1="MSolo",IF(P151="","",P151),IF($B$1="Duet",IF(S151="","",S151),IF($B$1="Mixed",IF(V151="","",V151),IF(Y151="","",Y151))))),IF($B$1="Solo",IF(M651="","",M651),IF($B$1="MSolo",IF(M651="","",M651),IF($B$1="Duet",IF(P651="","",P651),IF($B$1="Mixed",IF(S651="","",S651),IF(V651="","",V651))))))</f>
        <v>#N/A</v>
      </c>
      <c r="C152" s="3" t="e">
        <f>IF('Coach Card'!$T$5="",IF($B$1="Solo",IF(N151="","",N151),IF($B$1="MSolo",IF(Q151="","",Q151),IF($B$1="Duet",IF(T151="","",T151),IF($B$1="Mixed",IF(W151="","",W151),IF(Z151="","",Z151))))),IF($B$1="Solo",IF(N651="","",N651),IF($B$1="MSolo",IF(N651="","",N651),IF($B$1="Duet",IF(Q651="","",Q651),IF($B$1="Mixed",IF(T651="","",T651),IF(W651="","",W651))))))</f>
        <v>#N/A</v>
      </c>
      <c r="D152" s="3" t="e">
        <f>IF('Coach Card'!$T$5="",IF($D$1="Team",IF(AG151="","",AG151),""),IF($D$1="Team",IF(AD651="","",AD651),""))</f>
        <v>#N/A</v>
      </c>
      <c r="E152" s="3" t="e">
        <f>IF('Coach Card'!$T$5="",IF($D$1="Team",IF(AH151="","",AH151),""),IF($D$1="Team",IF(AE651="","",AE651),""))</f>
        <v>#N/A</v>
      </c>
      <c r="O152" s="1"/>
      <c r="R152" s="1" t="s">
        <v>1765</v>
      </c>
      <c r="S152" t="s">
        <v>1971</v>
      </c>
      <c r="T152" s="3">
        <v>0.15</v>
      </c>
      <c r="U152" s="1" t="s">
        <v>1765</v>
      </c>
      <c r="V152" t="s">
        <v>1971</v>
      </c>
      <c r="W152" s="3">
        <v>0.15</v>
      </c>
      <c r="X152" s="1" t="s">
        <v>625</v>
      </c>
      <c r="Y152" t="s">
        <v>60</v>
      </c>
      <c r="Z152" s="3">
        <v>0.4</v>
      </c>
      <c r="AK152" t="s">
        <v>1840</v>
      </c>
      <c r="AL152" t="s">
        <v>1840</v>
      </c>
      <c r="AM152">
        <v>1</v>
      </c>
    </row>
    <row r="153" spans="1:39" x14ac:dyDescent="0.35">
      <c r="A153" s="6" t="e">
        <f>IF('Coach Card'!$T$5="",IF($B$1="Solo",IF(L152="","",L152),IF($B$1="MSolo",IF(O152="","",O152),IF($B$1="Duet",IF(R152="","",R152),IF($B$1="Mixed",IF(U152="","",U152),IF(X152="","",X152))))),IF($B$1="Solo",IF(L652="","",L652),IF($B$1="MSolo",IF(L652="","",L652),IF($B$1="Duet",IF(O652="","",O652),IF($B$1="Mixed",IF(R652="","",R652),IF(U652="","",U652))))))</f>
        <v>#N/A</v>
      </c>
      <c r="B153" s="3" t="e">
        <f>IF('Coach Card'!$T$5="",IF($B$1="Solo",IF(M152="","",M152),IF($B$1="MSolo",IF(P152="","",P152),IF($B$1="Duet",IF(S152="","",S152),IF($B$1="Mixed",IF(V152="","",V152),IF(Y152="","",Y152))))),IF($B$1="Solo",IF(M652="","",M652),IF($B$1="MSolo",IF(M652="","",M652),IF($B$1="Duet",IF(P652="","",P652),IF($B$1="Mixed",IF(S652="","",S652),IF(V652="","",V652))))))</f>
        <v>#N/A</v>
      </c>
      <c r="C153" s="3" t="e">
        <f>IF('Coach Card'!$T$5="",IF($B$1="Solo",IF(N152="","",N152),IF($B$1="MSolo",IF(Q152="","",Q152),IF($B$1="Duet",IF(T152="","",T152),IF($B$1="Mixed",IF(W152="","",W152),IF(Z152="","",Z152))))),IF($B$1="Solo",IF(N652="","",N652),IF($B$1="MSolo",IF(N652="","",N652),IF($B$1="Duet",IF(Q652="","",Q652),IF($B$1="Mixed",IF(T652="","",T652),IF(W652="","",W652))))))</f>
        <v>#N/A</v>
      </c>
      <c r="D153" s="3" t="e">
        <f>IF('Coach Card'!$T$5="",IF($D$1="Team",IF(AG152="","",AG152),""),IF($D$1="Team",IF(AD652="","",AD652),""))</f>
        <v>#N/A</v>
      </c>
      <c r="E153" s="3" t="e">
        <f>IF('Coach Card'!$T$5="",IF($D$1="Team",IF(AH152="","",AH152),""),IF($D$1="Team",IF(AE652="","",AE652),""))</f>
        <v>#N/A</v>
      </c>
      <c r="O153" s="1"/>
      <c r="R153" s="1" t="s">
        <v>1765</v>
      </c>
      <c r="S153" t="s">
        <v>1972</v>
      </c>
      <c r="T153" s="3">
        <v>0.22500000000000001</v>
      </c>
      <c r="U153" s="1" t="s">
        <v>1765</v>
      </c>
      <c r="V153" t="s">
        <v>1972</v>
      </c>
      <c r="W153" s="3">
        <v>0.22500000000000001</v>
      </c>
      <c r="X153" s="1" t="s">
        <v>625</v>
      </c>
      <c r="Y153" t="s">
        <v>626</v>
      </c>
      <c r="Z153" s="3">
        <v>0.5</v>
      </c>
      <c r="AK153" t="s">
        <v>1843</v>
      </c>
      <c r="AL153" t="s">
        <v>1843</v>
      </c>
      <c r="AM153">
        <v>1</v>
      </c>
    </row>
    <row r="154" spans="1:39" x14ac:dyDescent="0.35">
      <c r="A154" s="6" t="e">
        <f>IF('Coach Card'!$T$5="",IF($B$1="Solo",IF(L153="","",L153),IF($B$1="MSolo",IF(O153="","",O153),IF($B$1="Duet",IF(R153="","",R153),IF($B$1="Mixed",IF(U153="","",U153),IF(X153="","",X153))))),IF($B$1="Solo",IF(L653="","",L653),IF($B$1="MSolo",IF(L653="","",L653),IF($B$1="Duet",IF(O653="","",O653),IF($B$1="Mixed",IF(R653="","",R653),IF(U653="","",U653))))))</f>
        <v>#N/A</v>
      </c>
      <c r="B154" s="3" t="e">
        <f>IF('Coach Card'!$T$5="",IF($B$1="Solo",IF(M153="","",M153),IF($B$1="MSolo",IF(P153="","",P153),IF($B$1="Duet",IF(S153="","",S153),IF($B$1="Mixed",IF(V153="","",V153),IF(Y153="","",Y153))))),IF($B$1="Solo",IF(M653="","",M653),IF($B$1="MSolo",IF(M653="","",M653),IF($B$1="Duet",IF(P653="","",P653),IF($B$1="Mixed",IF(S653="","",S653),IF(V653="","",V653))))))</f>
        <v>#N/A</v>
      </c>
      <c r="C154" s="3" t="e">
        <f>IF('Coach Card'!$T$5="",IF($B$1="Solo",IF(N153="","",N153),IF($B$1="MSolo",IF(Q153="","",Q153),IF($B$1="Duet",IF(T153="","",T153),IF($B$1="Mixed",IF(W153="","",W153),IF(Z153="","",Z153))))),IF($B$1="Solo",IF(N653="","",N653),IF($B$1="MSolo",IF(N653="","",N653),IF($B$1="Duet",IF(Q653="","",Q653),IF($B$1="Mixed",IF(T653="","",T653),IF(W653="","",W653))))))</f>
        <v>#N/A</v>
      </c>
      <c r="D154" s="3" t="e">
        <f>IF('Coach Card'!$T$5="",IF($D$1="Team",IF(AG153="","",AG153),""),IF($D$1="Team",IF(AD653="","",AD653),""))</f>
        <v>#N/A</v>
      </c>
      <c r="E154" s="3" t="e">
        <f>IF('Coach Card'!$T$5="",IF($D$1="Team",IF(AH153="","",AH153),""),IF($D$1="Team",IF(AE653="","",AE653),""))</f>
        <v>#N/A</v>
      </c>
      <c r="O154" s="1"/>
      <c r="R154" s="1" t="s">
        <v>1765</v>
      </c>
      <c r="S154" t="s">
        <v>1973</v>
      </c>
      <c r="T154" s="3">
        <v>0.25</v>
      </c>
      <c r="U154" s="1" t="s">
        <v>1765</v>
      </c>
      <c r="V154" t="s">
        <v>1973</v>
      </c>
      <c r="W154" s="3">
        <v>0.25</v>
      </c>
      <c r="X154" s="1" t="s">
        <v>625</v>
      </c>
      <c r="Y154" t="s">
        <v>61</v>
      </c>
      <c r="Z154" s="3">
        <v>0.5</v>
      </c>
      <c r="AK154" t="s">
        <v>60</v>
      </c>
      <c r="AL154" t="s">
        <v>60</v>
      </c>
      <c r="AM154">
        <v>1</v>
      </c>
    </row>
    <row r="155" spans="1:39" x14ac:dyDescent="0.35">
      <c r="A155" s="6" t="e">
        <f>IF('Coach Card'!$T$5="",IF($B$1="Solo",IF(L154="","",L154),IF($B$1="MSolo",IF(O154="","",O154),IF($B$1="Duet",IF(R154="","",R154),IF($B$1="Mixed",IF(U154="","",U154),IF(X154="","",X154))))),IF($B$1="Solo",IF(L654="","",L654),IF($B$1="MSolo",IF(L654="","",L654),IF($B$1="Duet",IF(O654="","",O654),IF($B$1="Mixed",IF(R654="","",R654),IF(U654="","",U654))))))</f>
        <v>#N/A</v>
      </c>
      <c r="B155" s="3" t="e">
        <f>IF('Coach Card'!$T$5="",IF($B$1="Solo",IF(M154="","",M154),IF($B$1="MSolo",IF(P154="","",P154),IF($B$1="Duet",IF(S154="","",S154),IF($B$1="Mixed",IF(V154="","",V154),IF(Y154="","",Y154))))),IF($B$1="Solo",IF(M654="","",M654),IF($B$1="MSolo",IF(M654="","",M654),IF($B$1="Duet",IF(P654="","",P654),IF($B$1="Mixed",IF(S654="","",S654),IF(V654="","",V654))))))</f>
        <v>#N/A</v>
      </c>
      <c r="C155" s="3" t="e">
        <f>IF('Coach Card'!$T$5="",IF($B$1="Solo",IF(N154="","",N154),IF($B$1="MSolo",IF(Q154="","",Q154),IF($B$1="Duet",IF(T154="","",T154),IF($B$1="Mixed",IF(W154="","",W154),IF(Z154="","",Z154))))),IF($B$1="Solo",IF(N654="","",N654),IF($B$1="MSolo",IF(N654="","",N654),IF($B$1="Duet",IF(Q654="","",Q654),IF($B$1="Mixed",IF(T654="","",T654),IF(W654="","",W654))))))</f>
        <v>#N/A</v>
      </c>
      <c r="D155" s="3" t="e">
        <f>IF('Coach Card'!$T$5="",IF($D$1="Team",IF(AG154="","",AG154),""),IF($D$1="Team",IF(AD654="","",AD654),""))</f>
        <v>#N/A</v>
      </c>
      <c r="E155" s="3" t="e">
        <f>IF('Coach Card'!$T$5="",IF($D$1="Team",IF(AH154="","",AH154),""),IF($D$1="Team",IF(AE654="","",AE654),""))</f>
        <v>#N/A</v>
      </c>
      <c r="O155" s="1"/>
      <c r="R155" s="1" t="s">
        <v>1765</v>
      </c>
      <c r="S155" t="s">
        <v>1974</v>
      </c>
      <c r="T155" s="3">
        <v>0.25</v>
      </c>
      <c r="U155" s="1" t="s">
        <v>1765</v>
      </c>
      <c r="V155" t="s">
        <v>1974</v>
      </c>
      <c r="W155" s="3">
        <v>0.25</v>
      </c>
      <c r="X155" s="1" t="s">
        <v>625</v>
      </c>
      <c r="Y155" t="s">
        <v>627</v>
      </c>
      <c r="Z155" s="3">
        <v>0.6</v>
      </c>
      <c r="AK155" t="s">
        <v>626</v>
      </c>
      <c r="AL155" t="s">
        <v>626</v>
      </c>
      <c r="AM155">
        <v>1</v>
      </c>
    </row>
    <row r="156" spans="1:39" x14ac:dyDescent="0.35">
      <c r="A156" s="6" t="e">
        <f>IF('Coach Card'!$T$5="",IF($B$1="Solo",IF(L155="","",L155),IF($B$1="MSolo",IF(O155="","",O155),IF($B$1="Duet",IF(R155="","",R155),IF($B$1="Mixed",IF(U155="","",U155),IF(X155="","",X155))))),IF($B$1="Solo",IF(L655="","",L655),IF($B$1="MSolo",IF(L655="","",L655),IF($B$1="Duet",IF(O655="","",O655),IF($B$1="Mixed",IF(R655="","",R655),IF(U655="","",U655))))))</f>
        <v>#N/A</v>
      </c>
      <c r="B156" s="3" t="e">
        <f>IF('Coach Card'!$T$5="",IF($B$1="Solo",IF(M155="","",M155),IF($B$1="MSolo",IF(P155="","",P155),IF($B$1="Duet",IF(S155="","",S155),IF($B$1="Mixed",IF(V155="","",V155),IF(Y155="","",Y155))))),IF($B$1="Solo",IF(M655="","",M655),IF($B$1="MSolo",IF(M655="","",M655),IF($B$1="Duet",IF(P655="","",P655),IF($B$1="Mixed",IF(S655="","",S655),IF(V655="","",V655))))))</f>
        <v>#N/A</v>
      </c>
      <c r="C156" s="3" t="e">
        <f>IF('Coach Card'!$T$5="",IF($B$1="Solo",IF(N155="","",N155),IF($B$1="MSolo",IF(Q155="","",Q155),IF($B$1="Duet",IF(T155="","",T155),IF($B$1="Mixed",IF(W155="","",W155),IF(Z155="","",Z155))))),IF($B$1="Solo",IF(N655="","",N655),IF($B$1="MSolo",IF(N655="","",N655),IF($B$1="Duet",IF(Q655="","",Q655),IF($B$1="Mixed",IF(T655="","",T655),IF(W655="","",W655))))))</f>
        <v>#N/A</v>
      </c>
      <c r="D156" s="3" t="e">
        <f>IF('Coach Card'!$T$5="",IF($D$1="Team",IF(AG155="","",AG155),""),IF($D$1="Team",IF(AD655="","",AD655),""))</f>
        <v>#N/A</v>
      </c>
      <c r="E156" s="3" t="e">
        <f>IF('Coach Card'!$T$5="",IF($D$1="Team",IF(AH155="","",AH155),""),IF($D$1="Team",IF(AE655="","",AE655),""))</f>
        <v>#N/A</v>
      </c>
      <c r="O156" s="1"/>
      <c r="R156" s="1" t="s">
        <v>1765</v>
      </c>
      <c r="S156" t="s">
        <v>1975</v>
      </c>
      <c r="T156" s="3">
        <v>0.32500000000000001</v>
      </c>
      <c r="U156" s="1" t="s">
        <v>1765</v>
      </c>
      <c r="V156" t="s">
        <v>1975</v>
      </c>
      <c r="W156" s="3">
        <v>0.32500000000000001</v>
      </c>
      <c r="X156" s="1" t="s">
        <v>625</v>
      </c>
      <c r="Y156" t="s">
        <v>62</v>
      </c>
      <c r="Z156" s="3">
        <v>1</v>
      </c>
      <c r="AK156" t="s">
        <v>61</v>
      </c>
      <c r="AL156" t="s">
        <v>61</v>
      </c>
      <c r="AM156">
        <v>1</v>
      </c>
    </row>
    <row r="157" spans="1:39" x14ac:dyDescent="0.35">
      <c r="A157" s="6" t="e">
        <f>IF('Coach Card'!$T$5="",IF($B$1="Solo",IF(L156="","",L156),IF($B$1="MSolo",IF(O156="","",O156),IF($B$1="Duet",IF(R156="","",R156),IF($B$1="Mixed",IF(U156="","",U156),IF(X156="","",X156))))),IF($B$1="Solo",IF(L656="","",L656),IF($B$1="MSolo",IF(L656="","",L656),IF($B$1="Duet",IF(O656="","",O656),IF($B$1="Mixed",IF(R656="","",R656),IF(U656="","",U656))))))</f>
        <v>#N/A</v>
      </c>
      <c r="B157" s="3" t="e">
        <f>IF('Coach Card'!$T$5="",IF($B$1="Solo",IF(M156="","",M156),IF($B$1="MSolo",IF(P156="","",P156),IF($B$1="Duet",IF(S156="","",S156),IF($B$1="Mixed",IF(V156="","",V156),IF(Y156="","",Y156))))),IF($B$1="Solo",IF(M656="","",M656),IF($B$1="MSolo",IF(M656="","",M656),IF($B$1="Duet",IF(P656="","",P656),IF($B$1="Mixed",IF(S656="","",S656),IF(V656="","",V656))))))</f>
        <v>#N/A</v>
      </c>
      <c r="C157" s="3" t="e">
        <f>IF('Coach Card'!$T$5="",IF($B$1="Solo",IF(N156="","",N156),IF($B$1="MSolo",IF(Q156="","",Q156),IF($B$1="Duet",IF(T156="","",T156),IF($B$1="Mixed",IF(W156="","",W156),IF(Z156="","",Z156))))),IF($B$1="Solo",IF(N656="","",N656),IF($B$1="MSolo",IF(N656="","",N656),IF($B$1="Duet",IF(Q656="","",Q656),IF($B$1="Mixed",IF(T656="","",T656),IF(W656="","",W656))))))</f>
        <v>#N/A</v>
      </c>
      <c r="D157" s="3" t="e">
        <f>IF('Coach Card'!$T$5="",IF($D$1="Team",IF(AG156="","",AG156),""),IF($D$1="Team",IF(AD656="","",AD656),""))</f>
        <v>#N/A</v>
      </c>
      <c r="E157" s="3" t="e">
        <f>IF('Coach Card'!$T$5="",IF($D$1="Team",IF(AH156="","",AH156),""),IF($D$1="Team",IF(AE656="","",AE656),""))</f>
        <v>#N/A</v>
      </c>
      <c r="O157" s="1"/>
      <c r="R157" s="1" t="s">
        <v>1765</v>
      </c>
      <c r="S157" t="s">
        <v>1976</v>
      </c>
      <c r="T157" s="3">
        <v>0.32500000000000001</v>
      </c>
      <c r="U157" s="1" t="s">
        <v>1765</v>
      </c>
      <c r="V157" t="s">
        <v>1976</v>
      </c>
      <c r="W157" s="3">
        <v>0.32500000000000001</v>
      </c>
      <c r="X157" s="1" t="s">
        <v>625</v>
      </c>
      <c r="Y157" t="s">
        <v>628</v>
      </c>
      <c r="Z157" s="3">
        <v>1.1000000000000001</v>
      </c>
      <c r="AK157" t="s">
        <v>627</v>
      </c>
      <c r="AL157" t="s">
        <v>627</v>
      </c>
      <c r="AM157">
        <v>1</v>
      </c>
    </row>
    <row r="158" spans="1:39" x14ac:dyDescent="0.35">
      <c r="A158" s="6" t="e">
        <f>IF('Coach Card'!$T$5="",IF($B$1="Solo",IF(L157="","",L157),IF($B$1="MSolo",IF(O157="","",O157),IF($B$1="Duet",IF(R157="","",R157),IF($B$1="Mixed",IF(U157="","",U157),IF(X157="","",X157))))),IF($B$1="Solo",IF(L657="","",L657),IF($B$1="MSolo",IF(L657="","",L657),IF($B$1="Duet",IF(O657="","",O657),IF($B$1="Mixed",IF(R657="","",R657),IF(U657="","",U657))))))</f>
        <v>#N/A</v>
      </c>
      <c r="B158" s="3" t="e">
        <f>IF('Coach Card'!$T$5="",IF($B$1="Solo",IF(M157="","",M157),IF($B$1="MSolo",IF(P157="","",P157),IF($B$1="Duet",IF(S157="","",S157),IF($B$1="Mixed",IF(V157="","",V157),IF(Y157="","",Y157))))),IF($B$1="Solo",IF(M657="","",M657),IF($B$1="MSolo",IF(M657="","",M657),IF($B$1="Duet",IF(P657="","",P657),IF($B$1="Mixed",IF(S657="","",S657),IF(V657="","",V657))))))</f>
        <v>#N/A</v>
      </c>
      <c r="C158" s="3" t="e">
        <f>IF('Coach Card'!$T$5="",IF($B$1="Solo",IF(N157="","",N157),IF($B$1="MSolo",IF(Q157="","",Q157),IF($B$1="Duet",IF(T157="","",T157),IF($B$1="Mixed",IF(W157="","",W157),IF(Z157="","",Z157))))),IF($B$1="Solo",IF(N657="","",N657),IF($B$1="MSolo",IF(N657="","",N657),IF($B$1="Duet",IF(Q657="","",Q657),IF($B$1="Mixed",IF(T657="","",T657),IF(W657="","",W657))))))</f>
        <v>#N/A</v>
      </c>
      <c r="D158" s="3" t="e">
        <f>IF('Coach Card'!$T$5="",IF($D$1="Team",IF(AG157="","",AG157),""),IF($D$1="Team",IF(AD657="","",AD657),""))</f>
        <v>#N/A</v>
      </c>
      <c r="E158" s="3" t="e">
        <f>IF('Coach Card'!$T$5="",IF($D$1="Team",IF(AH157="","",AH157),""),IF($D$1="Team",IF(AE657="","",AE657),""))</f>
        <v>#N/A</v>
      </c>
      <c r="O158" s="1"/>
      <c r="R158" s="1" t="s">
        <v>1765</v>
      </c>
      <c r="S158" t="s">
        <v>1977</v>
      </c>
      <c r="T158" s="3">
        <v>0.32500000000000001</v>
      </c>
      <c r="U158" s="1" t="s">
        <v>1765</v>
      </c>
      <c r="V158" t="s">
        <v>1977</v>
      </c>
      <c r="W158" s="3">
        <v>0.32500000000000001</v>
      </c>
      <c r="X158" s="1" t="s">
        <v>625</v>
      </c>
      <c r="Y158" t="s">
        <v>1844</v>
      </c>
      <c r="Z158" s="3">
        <v>1.25</v>
      </c>
      <c r="AK158" t="s">
        <v>62</v>
      </c>
      <c r="AL158" t="s">
        <v>62</v>
      </c>
      <c r="AM158">
        <v>1</v>
      </c>
    </row>
    <row r="159" spans="1:39" x14ac:dyDescent="0.35">
      <c r="A159" s="6" t="e">
        <f>IF('Coach Card'!$T$5="",IF($B$1="Solo",IF(L158="","",L158),IF($B$1="MSolo",IF(O158="","",O158),IF($B$1="Duet",IF(R158="","",R158),IF($B$1="Mixed",IF(U158="","",U158),IF(X158="","",X158))))),IF($B$1="Solo",IF(L658="","",L658),IF($B$1="MSolo",IF(L658="","",L658),IF($B$1="Duet",IF(O658="","",O658),IF($B$1="Mixed",IF(R658="","",R658),IF(U658="","",U658))))))</f>
        <v>#N/A</v>
      </c>
      <c r="B159" s="3" t="e">
        <f>IF('Coach Card'!$T$5="",IF($B$1="Solo",IF(M158="","",M158),IF($B$1="MSolo",IF(P158="","",P158),IF($B$1="Duet",IF(S158="","",S158),IF($B$1="Mixed",IF(V158="","",V158),IF(Y158="","",Y158))))),IF($B$1="Solo",IF(M658="","",M658),IF($B$1="MSolo",IF(M658="","",M658),IF($B$1="Duet",IF(P658="","",P658),IF($B$1="Mixed",IF(S658="","",S658),IF(V658="","",V658))))))</f>
        <v>#N/A</v>
      </c>
      <c r="C159" s="3" t="e">
        <f>IF('Coach Card'!$T$5="",IF($B$1="Solo",IF(N158="","",N158),IF($B$1="MSolo",IF(Q158="","",Q158),IF($B$1="Duet",IF(T158="","",T158),IF($B$1="Mixed",IF(W158="","",W158),IF(Z158="","",Z158))))),IF($B$1="Solo",IF(N658="","",N658),IF($B$1="MSolo",IF(N658="","",N658),IF($B$1="Duet",IF(Q658="","",Q658),IF($B$1="Mixed",IF(T658="","",T658),IF(W658="","",W658))))))</f>
        <v>#N/A</v>
      </c>
      <c r="D159" s="3" t="e">
        <f>IF('Coach Card'!$T$5="",IF($D$1="Team",IF(AG158="","",AG158),""),IF($D$1="Team",IF(AD658="","",AD658),""))</f>
        <v>#N/A</v>
      </c>
      <c r="E159" s="3" t="e">
        <f>IF('Coach Card'!$T$5="",IF($D$1="Team",IF(AH158="","",AH158),""),IF($D$1="Team",IF(AE658="","",AE658),""))</f>
        <v>#N/A</v>
      </c>
      <c r="O159" s="1"/>
      <c r="R159" s="1" t="s">
        <v>1765</v>
      </c>
      <c r="S159" t="s">
        <v>1978</v>
      </c>
      <c r="T159" s="3">
        <v>0.32500000000000001</v>
      </c>
      <c r="U159" s="1" t="s">
        <v>1765</v>
      </c>
      <c r="V159" t="s">
        <v>1978</v>
      </c>
      <c r="W159" s="3">
        <v>0.32500000000000001</v>
      </c>
      <c r="X159" s="1" t="s">
        <v>625</v>
      </c>
      <c r="Y159" t="s">
        <v>1846</v>
      </c>
      <c r="Z159" s="3">
        <v>1.35</v>
      </c>
      <c r="AK159" t="s">
        <v>628</v>
      </c>
      <c r="AL159" t="s">
        <v>628</v>
      </c>
      <c r="AM159">
        <v>1</v>
      </c>
    </row>
    <row r="160" spans="1:39" x14ac:dyDescent="0.35">
      <c r="A160" s="6" t="e">
        <f>IF('Coach Card'!$T$5="",IF($B$1="Solo",IF(L159="","",L159),IF($B$1="MSolo",IF(O159="","",O159),IF($B$1="Duet",IF(R159="","",R159),IF($B$1="Mixed",IF(U159="","",U159),IF(X159="","",X159))))),IF($B$1="Solo",IF(L659="","",L659),IF($B$1="MSolo",IF(L659="","",L659),IF($B$1="Duet",IF(O659="","",O659),IF($B$1="Mixed",IF(R659="","",R659),IF(U659="","",U659))))))</f>
        <v>#N/A</v>
      </c>
      <c r="B160" s="3" t="e">
        <f>IF('Coach Card'!$T$5="",IF($B$1="Solo",IF(M159="","",M159),IF($B$1="MSolo",IF(P159="","",P159),IF($B$1="Duet",IF(S159="","",S159),IF($B$1="Mixed",IF(V159="","",V159),IF(Y159="","",Y159))))),IF($B$1="Solo",IF(M659="","",M659),IF($B$1="MSolo",IF(M659="","",M659),IF($B$1="Duet",IF(P659="","",P659),IF($B$1="Mixed",IF(S659="","",S659),IF(V659="","",V659))))))</f>
        <v>#N/A</v>
      </c>
      <c r="C160" s="3" t="e">
        <f>IF('Coach Card'!$T$5="",IF($B$1="Solo",IF(N159="","",N159),IF($B$1="MSolo",IF(Q159="","",Q159),IF($B$1="Duet",IF(T159="","",T159),IF($B$1="Mixed",IF(W159="","",W159),IF(Z159="","",Z159))))),IF($B$1="Solo",IF(N659="","",N659),IF($B$1="MSolo",IF(N659="","",N659),IF($B$1="Duet",IF(Q659="","",Q659),IF($B$1="Mixed",IF(T659="","",T659),IF(W659="","",W659))))))</f>
        <v>#N/A</v>
      </c>
      <c r="D160" s="3" t="e">
        <f>IF('Coach Card'!$T$5="",IF($D$1="Team",IF(AG159="","",AG159),""),IF($D$1="Team",IF(AD659="","",AD659),""))</f>
        <v>#N/A</v>
      </c>
      <c r="E160" s="3" t="e">
        <f>IF('Coach Card'!$T$5="",IF($D$1="Team",IF(AH159="","",AH159),""),IF($D$1="Team",IF(AE659="","",AE659),""))</f>
        <v>#N/A</v>
      </c>
      <c r="O160" s="1"/>
      <c r="R160" s="1" t="s">
        <v>1765</v>
      </c>
      <c r="S160" t="s">
        <v>1979</v>
      </c>
      <c r="T160" s="3">
        <v>0.42499999999999999</v>
      </c>
      <c r="U160" s="1" t="s">
        <v>1765</v>
      </c>
      <c r="V160" t="s">
        <v>1979</v>
      </c>
      <c r="W160" s="3">
        <v>0.42499999999999999</v>
      </c>
      <c r="X160" s="1" t="s">
        <v>625</v>
      </c>
      <c r="Y160" t="s">
        <v>1845</v>
      </c>
      <c r="Z160" s="3">
        <v>1.25</v>
      </c>
      <c r="AK160" t="s">
        <v>1844</v>
      </c>
      <c r="AL160" t="s">
        <v>1844</v>
      </c>
      <c r="AM160">
        <v>1</v>
      </c>
    </row>
    <row r="161" spans="1:39" x14ac:dyDescent="0.35">
      <c r="A161" s="6" t="e">
        <f>IF('Coach Card'!$T$5="",IF($B$1="Solo",IF(L160="","",L160),IF($B$1="MSolo",IF(O160="","",O160),IF($B$1="Duet",IF(R160="","",R160),IF($B$1="Mixed",IF(U160="","",U160),IF(X160="","",X160))))),IF($B$1="Solo",IF(L660="","",L660),IF($B$1="MSolo",IF(L660="","",L660),IF($B$1="Duet",IF(O660="","",O660),IF($B$1="Mixed",IF(R660="","",R660),IF(U660="","",U660))))))</f>
        <v>#N/A</v>
      </c>
      <c r="B161" s="3" t="e">
        <f>IF('Coach Card'!$T$5="",IF($B$1="Solo",IF(M160="","",M160),IF($B$1="MSolo",IF(P160="","",P160),IF($B$1="Duet",IF(S160="","",S160),IF($B$1="Mixed",IF(V160="","",V160),IF(Y160="","",Y160))))),IF($B$1="Solo",IF(M660="","",M660),IF($B$1="MSolo",IF(M660="","",M660),IF($B$1="Duet",IF(P660="","",P660),IF($B$1="Mixed",IF(S660="","",S660),IF(V660="","",V660))))))</f>
        <v>#N/A</v>
      </c>
      <c r="C161" s="3" t="e">
        <f>IF('Coach Card'!$T$5="",IF($B$1="Solo",IF(N160="","",N160),IF($B$1="MSolo",IF(Q160="","",Q160),IF($B$1="Duet",IF(T160="","",T160),IF($B$1="Mixed",IF(W160="","",W160),IF(Z160="","",Z160))))),IF($B$1="Solo",IF(N660="","",N660),IF($B$1="MSolo",IF(N660="","",N660),IF($B$1="Duet",IF(Q660="","",Q660),IF($B$1="Mixed",IF(T660="","",T660),IF(W660="","",W660))))))</f>
        <v>#N/A</v>
      </c>
      <c r="D161" s="3" t="e">
        <f>IF('Coach Card'!$T$5="",IF($D$1="Team",IF(AG160="","",AG160),""),IF($D$1="Team",IF(AD660="","",AD660),""))</f>
        <v>#N/A</v>
      </c>
      <c r="E161" s="3" t="e">
        <f>IF('Coach Card'!$T$5="",IF($D$1="Team",IF(AH160="","",AH160),""),IF($D$1="Team",IF(AE660="","",AE660),""))</f>
        <v>#N/A</v>
      </c>
      <c r="O161" s="1"/>
      <c r="R161" s="1" t="s">
        <v>1765</v>
      </c>
      <c r="S161" t="s">
        <v>1980</v>
      </c>
      <c r="T161" s="3">
        <v>0.42499999999999999</v>
      </c>
      <c r="U161" s="1" t="s">
        <v>1765</v>
      </c>
      <c r="V161" t="s">
        <v>1980</v>
      </c>
      <c r="W161" s="3">
        <v>0.42499999999999999</v>
      </c>
      <c r="X161" s="1" t="s">
        <v>625</v>
      </c>
      <c r="Y161" t="s">
        <v>1847</v>
      </c>
      <c r="Z161" s="3">
        <v>1.35</v>
      </c>
      <c r="AK161" t="s">
        <v>1846</v>
      </c>
      <c r="AL161" t="s">
        <v>1846</v>
      </c>
      <c r="AM161">
        <v>1</v>
      </c>
    </row>
    <row r="162" spans="1:39" x14ac:dyDescent="0.35">
      <c r="A162" s="6" t="e">
        <f>IF('Coach Card'!$T$5="",IF($B$1="Solo",IF(L161="","",L161),IF($B$1="MSolo",IF(O161="","",O161),IF($B$1="Duet",IF(R161="","",R161),IF($B$1="Mixed",IF(U161="","",U161),IF(X161="","",X161))))),IF($B$1="Solo",IF(L661="","",L661),IF($B$1="MSolo",IF(L661="","",L661),IF($B$1="Duet",IF(O661="","",O661),IF($B$1="Mixed",IF(R661="","",R661),IF(U661="","",U661))))))</f>
        <v>#N/A</v>
      </c>
      <c r="B162" s="3" t="e">
        <f>IF('Coach Card'!$T$5="",IF($B$1="Solo",IF(M161="","",M161),IF($B$1="MSolo",IF(P161="","",P161),IF($B$1="Duet",IF(S161="","",S161),IF($B$1="Mixed",IF(V161="","",V161),IF(Y161="","",Y161))))),IF($B$1="Solo",IF(M661="","",M661),IF($B$1="MSolo",IF(M661="","",M661),IF($B$1="Duet",IF(P661="","",P661),IF($B$1="Mixed",IF(S661="","",S661),IF(V661="","",V661))))))</f>
        <v>#N/A</v>
      </c>
      <c r="C162" s="3" t="e">
        <f>IF('Coach Card'!$T$5="",IF($B$1="Solo",IF(N161="","",N161),IF($B$1="MSolo",IF(Q161="","",Q161),IF($B$1="Duet",IF(T161="","",T161),IF($B$1="Mixed",IF(W161="","",W161),IF(Z161="","",Z161))))),IF($B$1="Solo",IF(N661="","",N661),IF($B$1="MSolo",IF(N661="","",N661),IF($B$1="Duet",IF(Q661="","",Q661),IF($B$1="Mixed",IF(T661="","",T661),IF(W661="","",W661))))))</f>
        <v>#N/A</v>
      </c>
      <c r="D162" s="3" t="e">
        <f>IF('Coach Card'!$T$5="",IF($D$1="Team",IF(AG161="","",AG161),""),IF($D$1="Team",IF(AD661="","",AD661),""))</f>
        <v>#N/A</v>
      </c>
      <c r="E162" s="3" t="e">
        <f>IF('Coach Card'!$T$5="",IF($D$1="Team",IF(AH161="","",AH161),""),IF($D$1="Team",IF(AE661="","",AE661),""))</f>
        <v>#N/A</v>
      </c>
      <c r="O162" s="1"/>
      <c r="R162" s="1" t="s">
        <v>1765</v>
      </c>
      <c r="S162" t="s">
        <v>1981</v>
      </c>
      <c r="T162" s="3">
        <v>0.42499999999999999</v>
      </c>
      <c r="U162" s="1" t="s">
        <v>1765</v>
      </c>
      <c r="V162" t="s">
        <v>1981</v>
      </c>
      <c r="W162" s="3">
        <v>0.42499999999999999</v>
      </c>
      <c r="X162" s="1" t="s">
        <v>625</v>
      </c>
      <c r="Y162" t="s">
        <v>1704</v>
      </c>
      <c r="Z162" s="3">
        <v>1.5</v>
      </c>
      <c r="AK162" t="s">
        <v>1845</v>
      </c>
      <c r="AL162" t="s">
        <v>1845</v>
      </c>
      <c r="AM162">
        <v>1</v>
      </c>
    </row>
    <row r="163" spans="1:39" x14ac:dyDescent="0.35">
      <c r="A163" s="6" t="e">
        <f>IF('Coach Card'!$T$5="",IF($B$1="Solo",IF(L162="","",L162),IF($B$1="MSolo",IF(O162="","",O162),IF($B$1="Duet",IF(R162="","",R162),IF($B$1="Mixed",IF(U162="","",U162),IF(X162="","",X162))))),IF($B$1="Solo",IF(L662="","",L662),IF($B$1="MSolo",IF(L662="","",L662),IF($B$1="Duet",IF(O662="","",O662),IF($B$1="Mixed",IF(R662="","",R662),IF(U662="","",U662))))))</f>
        <v>#N/A</v>
      </c>
      <c r="B163" s="3" t="e">
        <f>IF('Coach Card'!$T$5="",IF($B$1="Solo",IF(M162="","",M162),IF($B$1="MSolo",IF(P162="","",P162),IF($B$1="Duet",IF(S162="","",S162),IF($B$1="Mixed",IF(V162="","",V162),IF(Y162="","",Y162))))),IF($B$1="Solo",IF(M662="","",M662),IF($B$1="MSolo",IF(M662="","",M662),IF($B$1="Duet",IF(P662="","",P662),IF($B$1="Mixed",IF(S662="","",S662),IF(V662="","",V662))))))</f>
        <v>#N/A</v>
      </c>
      <c r="C163" s="3" t="e">
        <f>IF('Coach Card'!$T$5="",IF($B$1="Solo",IF(N162="","",N162),IF($B$1="MSolo",IF(Q162="","",Q162),IF($B$1="Duet",IF(T162="","",T162),IF($B$1="Mixed",IF(W162="","",W162),IF(Z162="","",Z162))))),IF($B$1="Solo",IF(N662="","",N662),IF($B$1="MSolo",IF(N662="","",N662),IF($B$1="Duet",IF(Q662="","",Q662),IF($B$1="Mixed",IF(T662="","",T662),IF(W662="","",W662))))))</f>
        <v>#N/A</v>
      </c>
      <c r="D163" s="3" t="e">
        <f>IF('Coach Card'!$T$5="",IF($D$1="Team",IF(AG162="","",AG162),""),IF($D$1="Team",IF(AD662="","",AD662),""))</f>
        <v>#N/A</v>
      </c>
      <c r="E163" s="3" t="e">
        <f>IF('Coach Card'!$T$5="",IF($D$1="Team",IF(AH162="","",AH162),""),IF($D$1="Team",IF(AE662="","",AE662),""))</f>
        <v>#N/A</v>
      </c>
      <c r="O163" s="1"/>
      <c r="R163" s="1" t="s">
        <v>1765</v>
      </c>
      <c r="S163" t="s">
        <v>1982</v>
      </c>
      <c r="T163" s="3">
        <v>0.42499999999999999</v>
      </c>
      <c r="U163" s="1" t="s">
        <v>1765</v>
      </c>
      <c r="V163" t="s">
        <v>1982</v>
      </c>
      <c r="W163" s="3">
        <v>0.42499999999999999</v>
      </c>
      <c r="X163" s="1" t="s">
        <v>625</v>
      </c>
      <c r="Y163" t="s">
        <v>1705</v>
      </c>
      <c r="Z163" s="3">
        <v>1.6</v>
      </c>
      <c r="AK163" t="s">
        <v>1847</v>
      </c>
      <c r="AL163" t="s">
        <v>1847</v>
      </c>
      <c r="AM163">
        <v>1</v>
      </c>
    </row>
    <row r="164" spans="1:39" x14ac:dyDescent="0.35">
      <c r="A164" s="6" t="e">
        <f>IF('Coach Card'!$T$5="",IF($B$1="Solo",IF(L163="","",L163),IF($B$1="MSolo",IF(O163="","",O163),IF($B$1="Duet",IF(R163="","",R163),IF($B$1="Mixed",IF(U163="","",U163),IF(X163="","",X163))))),IF($B$1="Solo",IF(L663="","",L663),IF($B$1="MSolo",IF(L663="","",L663),IF($B$1="Duet",IF(O663="","",O663),IF($B$1="Mixed",IF(R663="","",R663),IF(U663="","",U663))))))</f>
        <v>#N/A</v>
      </c>
      <c r="B164" s="3" t="e">
        <f>IF('Coach Card'!$T$5="",IF($B$1="Solo",IF(M163="","",M163),IF($B$1="MSolo",IF(P163="","",P163),IF($B$1="Duet",IF(S163="","",S163),IF($B$1="Mixed",IF(V163="","",V163),IF(Y163="","",Y163))))),IF($B$1="Solo",IF(M663="","",M663),IF($B$1="MSolo",IF(M663="","",M663),IF($B$1="Duet",IF(P663="","",P663),IF($B$1="Mixed",IF(S663="","",S663),IF(V663="","",V663))))))</f>
        <v>#N/A</v>
      </c>
      <c r="C164" s="3" t="e">
        <f>IF('Coach Card'!$T$5="",IF($B$1="Solo",IF(N163="","",N163),IF($B$1="MSolo",IF(Q163="","",Q163),IF($B$1="Duet",IF(T163="","",T163),IF($B$1="Mixed",IF(W163="","",W163),IF(Z163="","",Z163))))),IF($B$1="Solo",IF(N663="","",N663),IF($B$1="MSolo",IF(N663="","",N663),IF($B$1="Duet",IF(Q663="","",Q663),IF($B$1="Mixed",IF(T663="","",T663),IF(W663="","",W663))))))</f>
        <v>#N/A</v>
      </c>
      <c r="D164" s="3" t="e">
        <f>IF('Coach Card'!$T$5="",IF($D$1="Team",IF(AG163="","",AG163),""),IF($D$1="Team",IF(AD663="","",AD663),""))</f>
        <v>#N/A</v>
      </c>
      <c r="E164" s="3" t="e">
        <f>IF('Coach Card'!$T$5="",IF($D$1="Team",IF(AH163="","",AH163),""),IF($D$1="Team",IF(AE663="","",AE663),""))</f>
        <v>#N/A</v>
      </c>
      <c r="O164" s="1"/>
      <c r="R164" s="1" t="s">
        <v>1765</v>
      </c>
      <c r="S164" t="s">
        <v>1983</v>
      </c>
      <c r="T164" s="3">
        <v>0.42499999999999999</v>
      </c>
      <c r="U164" s="1" t="s">
        <v>1765</v>
      </c>
      <c r="V164" t="s">
        <v>1983</v>
      </c>
      <c r="W164" s="3">
        <v>0.42499999999999999</v>
      </c>
      <c r="X164" s="1" t="s">
        <v>1765</v>
      </c>
      <c r="Y164" t="s">
        <v>1971</v>
      </c>
      <c r="Z164" s="3">
        <v>0.15</v>
      </c>
      <c r="AK164" t="s">
        <v>1704</v>
      </c>
      <c r="AL164" t="s">
        <v>1704</v>
      </c>
      <c r="AM164">
        <v>1</v>
      </c>
    </row>
    <row r="165" spans="1:39" x14ac:dyDescent="0.35">
      <c r="A165" s="6" t="e">
        <f>IF('Coach Card'!$T$5="",IF($B$1="Solo",IF(L164="","",L164),IF($B$1="MSolo",IF(O164="","",O164),IF($B$1="Duet",IF(R164="","",R164),IF($B$1="Mixed",IF(U164="","",U164),IF(X164="","",X164))))),IF($B$1="Solo",IF(L664="","",L664),IF($B$1="MSolo",IF(L664="","",L664),IF($B$1="Duet",IF(O664="","",O664),IF($B$1="Mixed",IF(R664="","",R664),IF(U664="","",U664))))))</f>
        <v>#N/A</v>
      </c>
      <c r="B165" s="3" t="e">
        <f>IF('Coach Card'!$T$5="",IF($B$1="Solo",IF(M164="","",M164),IF($B$1="MSolo",IF(P164="","",P164),IF($B$1="Duet",IF(S164="","",S164),IF($B$1="Mixed",IF(V164="","",V164),IF(Y164="","",Y164))))),IF($B$1="Solo",IF(M664="","",M664),IF($B$1="MSolo",IF(M664="","",M664),IF($B$1="Duet",IF(P664="","",P664),IF($B$1="Mixed",IF(S664="","",S664),IF(V664="","",V664))))))</f>
        <v>#N/A</v>
      </c>
      <c r="C165" s="3" t="e">
        <f>IF('Coach Card'!$T$5="",IF($B$1="Solo",IF(N164="","",N164),IF($B$1="MSolo",IF(Q164="","",Q164),IF($B$1="Duet",IF(T164="","",T164),IF($B$1="Mixed",IF(W164="","",W164),IF(Z164="","",Z164))))),IF($B$1="Solo",IF(N664="","",N664),IF($B$1="MSolo",IF(N664="","",N664),IF($B$1="Duet",IF(Q664="","",Q664),IF($B$1="Mixed",IF(T664="","",T664),IF(W664="","",W664))))))</f>
        <v>#N/A</v>
      </c>
      <c r="D165" s="3" t="e">
        <f>IF('Coach Card'!$T$5="",IF($D$1="Team",IF(AG164="","",AG164),""),IF($D$1="Team",IF(AD664="","",AD664),""))</f>
        <v>#N/A</v>
      </c>
      <c r="E165" s="3" t="e">
        <f>IF('Coach Card'!$T$5="",IF($D$1="Team",IF(AH164="","",AH164),""),IF($D$1="Team",IF(AE664="","",AE664),""))</f>
        <v>#N/A</v>
      </c>
      <c r="O165" s="1"/>
      <c r="R165" s="1" t="s">
        <v>1765</v>
      </c>
      <c r="S165" t="s">
        <v>1984</v>
      </c>
      <c r="T165" s="3">
        <v>0.45</v>
      </c>
      <c r="U165" s="1" t="s">
        <v>1765</v>
      </c>
      <c r="V165" t="s">
        <v>1984</v>
      </c>
      <c r="W165" s="3">
        <v>0.45</v>
      </c>
      <c r="X165" s="1" t="s">
        <v>1765</v>
      </c>
      <c r="Y165" t="s">
        <v>1972</v>
      </c>
      <c r="Z165" s="3">
        <v>0.22500000000000001</v>
      </c>
      <c r="AK165" t="s">
        <v>1705</v>
      </c>
      <c r="AL165" t="s">
        <v>1705</v>
      </c>
      <c r="AM165">
        <v>1</v>
      </c>
    </row>
    <row r="166" spans="1:39" x14ac:dyDescent="0.35">
      <c r="A166" s="6" t="e">
        <f>IF('Coach Card'!$T$5="",IF($B$1="Solo",IF(L165="","",L165),IF($B$1="MSolo",IF(O165="","",O165),IF($B$1="Duet",IF(R165="","",R165),IF($B$1="Mixed",IF(U165="","",U165),IF(X165="","",X165))))),IF($B$1="Solo",IF(L665="","",L665),IF($B$1="MSolo",IF(L665="","",L665),IF($B$1="Duet",IF(O665="","",O665),IF($B$1="Mixed",IF(R665="","",R665),IF(U665="","",U665))))))</f>
        <v>#N/A</v>
      </c>
      <c r="B166" s="3" t="e">
        <f>IF('Coach Card'!$T$5="",IF($B$1="Solo",IF(M165="","",M165),IF($B$1="MSolo",IF(P165="","",P165),IF($B$1="Duet",IF(S165="","",S165),IF($B$1="Mixed",IF(V165="","",V165),IF(Y165="","",Y165))))),IF($B$1="Solo",IF(M665="","",M665),IF($B$1="MSolo",IF(M665="","",M665),IF($B$1="Duet",IF(P665="","",P665),IF($B$1="Mixed",IF(S665="","",S665),IF(V665="","",V665))))))</f>
        <v>#N/A</v>
      </c>
      <c r="C166" s="3" t="e">
        <f>IF('Coach Card'!$T$5="",IF($B$1="Solo",IF(N165="","",N165),IF($B$1="MSolo",IF(Q165="","",Q165),IF($B$1="Duet",IF(T165="","",T165),IF($B$1="Mixed",IF(W165="","",W165),IF(Z165="","",Z165))))),IF($B$1="Solo",IF(N665="","",N665),IF($B$1="MSolo",IF(N665="","",N665),IF($B$1="Duet",IF(Q665="","",Q665),IF($B$1="Mixed",IF(T665="","",T665),IF(W665="","",W665))))))</f>
        <v>#N/A</v>
      </c>
      <c r="D166" s="3" t="e">
        <f>IF('Coach Card'!$T$5="",IF($D$1="Team",IF(AG165="","",AG165),""),IF($D$1="Team",IF(AD665="","",AD665),""))</f>
        <v>#N/A</v>
      </c>
      <c r="E166" s="3" t="e">
        <f>IF('Coach Card'!$T$5="",IF($D$1="Team",IF(AH165="","",AH165),""),IF($D$1="Team",IF(AE665="","",AE665),""))</f>
        <v>#N/A</v>
      </c>
      <c r="O166" s="1"/>
      <c r="R166" s="1" t="s">
        <v>1765</v>
      </c>
      <c r="S166" t="s">
        <v>1985</v>
      </c>
      <c r="T166" s="3">
        <v>0.45</v>
      </c>
      <c r="U166" s="1" t="s">
        <v>1765</v>
      </c>
      <c r="V166" t="s">
        <v>1985</v>
      </c>
      <c r="W166" s="3">
        <v>0.45</v>
      </c>
      <c r="X166" s="1" t="s">
        <v>1765</v>
      </c>
      <c r="Y166" t="s">
        <v>1973</v>
      </c>
      <c r="Z166" s="3">
        <v>0.25</v>
      </c>
      <c r="AK166" t="s">
        <v>1971</v>
      </c>
      <c r="AL166" t="s">
        <v>1632</v>
      </c>
      <c r="AM166">
        <v>0.5</v>
      </c>
    </row>
    <row r="167" spans="1:39" x14ac:dyDescent="0.35">
      <c r="A167" s="6" t="e">
        <f>IF('Coach Card'!$T$5="",IF($B$1="Solo",IF(L166="","",L166),IF($B$1="MSolo",IF(O166="","",O166),IF($B$1="Duet",IF(R166="","",R166),IF($B$1="Mixed",IF(U166="","",U166),IF(X166="","",X166))))),IF($B$1="Solo",IF(L666="","",L666),IF($B$1="MSolo",IF(L666="","",L666),IF($B$1="Duet",IF(O666="","",O666),IF($B$1="Mixed",IF(R666="","",R666),IF(U666="","",U666))))))</f>
        <v>#N/A</v>
      </c>
      <c r="B167" s="3" t="e">
        <f>IF('Coach Card'!$T$5="",IF($B$1="Solo",IF(M166="","",M166),IF($B$1="MSolo",IF(P166="","",P166),IF($B$1="Duet",IF(S166="","",S166),IF($B$1="Mixed",IF(V166="","",V166),IF(Y166="","",Y166))))),IF($B$1="Solo",IF(M666="","",M666),IF($B$1="MSolo",IF(M666="","",M666),IF($B$1="Duet",IF(P666="","",P666),IF($B$1="Mixed",IF(S666="","",S666),IF(V666="","",V666))))))</f>
        <v>#N/A</v>
      </c>
      <c r="C167" s="3" t="e">
        <f>IF('Coach Card'!$T$5="",IF($B$1="Solo",IF(N166="","",N166),IF($B$1="MSolo",IF(Q166="","",Q166),IF($B$1="Duet",IF(T166="","",T166),IF($B$1="Mixed",IF(W166="","",W166),IF(Z166="","",Z166))))),IF($B$1="Solo",IF(N666="","",N666),IF($B$1="MSolo",IF(N666="","",N666),IF($B$1="Duet",IF(Q666="","",Q666),IF($B$1="Mixed",IF(T666="","",T666),IF(W666="","",W666))))))</f>
        <v>#N/A</v>
      </c>
      <c r="D167" s="3" t="e">
        <f>IF('Coach Card'!$T$5="",IF($D$1="Team",IF(AG166="","",AG166),""),IF($D$1="Team",IF(AD666="","",AD666),""))</f>
        <v>#N/A</v>
      </c>
      <c r="E167" s="3" t="e">
        <f>IF('Coach Card'!$T$5="",IF($D$1="Team",IF(AH166="","",AH166),""),IF($D$1="Team",IF(AE666="","",AE666),""))</f>
        <v>#N/A</v>
      </c>
      <c r="O167" s="1"/>
      <c r="R167" s="1" t="s">
        <v>1765</v>
      </c>
      <c r="S167" t="s">
        <v>1986</v>
      </c>
      <c r="T167" s="3">
        <v>0.45</v>
      </c>
      <c r="U167" s="1" t="s">
        <v>1765</v>
      </c>
      <c r="V167" t="s">
        <v>1986</v>
      </c>
      <c r="W167" s="3">
        <v>0.45</v>
      </c>
      <c r="X167" s="1" t="s">
        <v>1765</v>
      </c>
      <c r="Y167" t="s">
        <v>1974</v>
      </c>
      <c r="Z167" s="3">
        <v>0.25</v>
      </c>
      <c r="AK167" t="s">
        <v>1972</v>
      </c>
      <c r="AL167" t="s">
        <v>52</v>
      </c>
      <c r="AM167">
        <v>0.5</v>
      </c>
    </row>
    <row r="168" spans="1:39" x14ac:dyDescent="0.35">
      <c r="A168" s="6" t="e">
        <f>IF('Coach Card'!$T$5="",IF($B$1="Solo",IF(L167="","",L167),IF($B$1="MSolo",IF(O167="","",O167),IF($B$1="Duet",IF(R167="","",R167),IF($B$1="Mixed",IF(U167="","",U167),IF(X167="","",X167))))),IF($B$1="Solo",IF(L667="","",L667),IF($B$1="MSolo",IF(L667="","",L667),IF($B$1="Duet",IF(O667="","",O667),IF($B$1="Mixed",IF(R667="","",R667),IF(U667="","",U667))))))</f>
        <v>#N/A</v>
      </c>
      <c r="B168" s="3" t="e">
        <f>IF('Coach Card'!$T$5="",IF($B$1="Solo",IF(M167="","",M167),IF($B$1="MSolo",IF(P167="","",P167),IF($B$1="Duet",IF(S167="","",S167),IF($B$1="Mixed",IF(V167="","",V167),IF(Y167="","",Y167))))),IF($B$1="Solo",IF(M667="","",M667),IF($B$1="MSolo",IF(M667="","",M667),IF($B$1="Duet",IF(P667="","",P667),IF($B$1="Mixed",IF(S667="","",S667),IF(V667="","",V667))))))</f>
        <v>#N/A</v>
      </c>
      <c r="C168" s="3" t="e">
        <f>IF('Coach Card'!$T$5="",IF($B$1="Solo",IF(N167="","",N167),IF($B$1="MSolo",IF(Q167="","",Q167),IF($B$1="Duet",IF(T167="","",T167),IF($B$1="Mixed",IF(W167="","",W167),IF(Z167="","",Z167))))),IF($B$1="Solo",IF(N667="","",N667),IF($B$1="MSolo",IF(N667="","",N667),IF($B$1="Duet",IF(Q667="","",Q667),IF($B$1="Mixed",IF(T667="","",T667),IF(W667="","",W667))))))</f>
        <v>#N/A</v>
      </c>
      <c r="D168" s="3" t="e">
        <f>IF('Coach Card'!$T$5="",IF($D$1="Team",IF(AG167="","",AG167),""),IF($D$1="Team",IF(AD667="","",AD667),""))</f>
        <v>#N/A</v>
      </c>
      <c r="E168" s="3" t="e">
        <f>IF('Coach Card'!$T$5="",IF($D$1="Team",IF(AH167="","",AH167),""),IF($D$1="Team",IF(AE667="","",AE667),""))</f>
        <v>#N/A</v>
      </c>
      <c r="O168" s="1"/>
      <c r="R168" s="1" t="s">
        <v>1765</v>
      </c>
      <c r="S168" t="s">
        <v>1987</v>
      </c>
      <c r="T168" s="3">
        <v>0.45</v>
      </c>
      <c r="U168" s="1" t="s">
        <v>1765</v>
      </c>
      <c r="V168" t="s">
        <v>1987</v>
      </c>
      <c r="W168" s="3">
        <v>0.45</v>
      </c>
      <c r="X168" s="1" t="s">
        <v>1765</v>
      </c>
      <c r="Y168" t="s">
        <v>1975</v>
      </c>
      <c r="Z168" s="3">
        <v>0.32500000000000001</v>
      </c>
      <c r="AK168" t="s">
        <v>1973</v>
      </c>
      <c r="AL168" t="s">
        <v>1778</v>
      </c>
      <c r="AM168">
        <v>0.5</v>
      </c>
    </row>
    <row r="169" spans="1:39" x14ac:dyDescent="0.35">
      <c r="A169" s="6" t="e">
        <f>IF('Coach Card'!$T$5="",IF($B$1="Solo",IF(L168="","",L168),IF($B$1="MSolo",IF(O168="","",O168),IF($B$1="Duet",IF(R168="","",R168),IF($B$1="Mixed",IF(U168="","",U168),IF(X168="","",X168))))),IF($B$1="Solo",IF(L668="","",L668),IF($B$1="MSolo",IF(L668="","",L668),IF($B$1="Duet",IF(O668="","",O668),IF($B$1="Mixed",IF(R668="","",R668),IF(U668="","",U668))))))</f>
        <v>#N/A</v>
      </c>
      <c r="B169" s="3" t="e">
        <f>IF('Coach Card'!$T$5="",IF($B$1="Solo",IF(M168="","",M168),IF($B$1="MSolo",IF(P168="","",P168),IF($B$1="Duet",IF(S168="","",S168),IF($B$1="Mixed",IF(V168="","",V168),IF(Y168="","",Y168))))),IF($B$1="Solo",IF(M668="","",M668),IF($B$1="MSolo",IF(M668="","",M668),IF($B$1="Duet",IF(P668="","",P668),IF($B$1="Mixed",IF(S668="","",S668),IF(V668="","",V668))))))</f>
        <v>#N/A</v>
      </c>
      <c r="C169" s="3" t="e">
        <f>IF('Coach Card'!$T$5="",IF($B$1="Solo",IF(N168="","",N168),IF($B$1="MSolo",IF(Q168="","",Q168),IF($B$1="Duet",IF(T168="","",T168),IF($B$1="Mixed",IF(W168="","",W168),IF(Z168="","",Z168))))),IF($B$1="Solo",IF(N668="","",N668),IF($B$1="MSolo",IF(N668="","",N668),IF($B$1="Duet",IF(Q668="","",Q668),IF($B$1="Mixed",IF(T668="","",T668),IF(W668="","",W668))))))</f>
        <v>#N/A</v>
      </c>
      <c r="D169" s="3" t="e">
        <f>IF('Coach Card'!$T$5="",IF($D$1="Team",IF(AG168="","",AG168),""),IF($D$1="Team",IF(AD668="","",AD668),""))</f>
        <v>#N/A</v>
      </c>
      <c r="E169" s="3" t="e">
        <f>IF('Coach Card'!$T$5="",IF($D$1="Team",IF(AH168="","",AH168),""),IF($D$1="Team",IF(AE668="","",AE668),""))</f>
        <v>#N/A</v>
      </c>
      <c r="O169" s="1"/>
      <c r="R169" s="1" t="s">
        <v>1765</v>
      </c>
      <c r="S169" t="s">
        <v>1988</v>
      </c>
      <c r="T169" s="3">
        <v>0.45</v>
      </c>
      <c r="U169" s="1" t="s">
        <v>1765</v>
      </c>
      <c r="V169" t="s">
        <v>1988</v>
      </c>
      <c r="W169" s="3">
        <v>0.45</v>
      </c>
      <c r="X169" s="1" t="s">
        <v>1765</v>
      </c>
      <c r="Y169" t="s">
        <v>1976</v>
      </c>
      <c r="Z169" s="3">
        <v>0.32500000000000001</v>
      </c>
      <c r="AK169" t="s">
        <v>1974</v>
      </c>
      <c r="AL169" t="s">
        <v>1779</v>
      </c>
      <c r="AM169">
        <v>0.5</v>
      </c>
    </row>
    <row r="170" spans="1:39" x14ac:dyDescent="0.35">
      <c r="A170" s="6" t="e">
        <f>IF('Coach Card'!$T$5="",IF($B$1="Solo",IF(L169="","",L169),IF($B$1="MSolo",IF(O169="","",O169),IF($B$1="Duet",IF(R169="","",R169),IF($B$1="Mixed",IF(U169="","",U169),IF(X169="","",X169))))),IF($B$1="Solo",IF(L669="","",L669),IF($B$1="MSolo",IF(L669="","",L669),IF($B$1="Duet",IF(O669="","",O669),IF($B$1="Mixed",IF(R669="","",R669),IF(U669="","",U669))))))</f>
        <v>#N/A</v>
      </c>
      <c r="B170" s="3" t="e">
        <f>IF('Coach Card'!$T$5="",IF($B$1="Solo",IF(M169="","",M169),IF($B$1="MSolo",IF(P169="","",P169),IF($B$1="Duet",IF(S169="","",S169),IF($B$1="Mixed",IF(V169="","",V169),IF(Y169="","",Y169))))),IF($B$1="Solo",IF(M669="","",M669),IF($B$1="MSolo",IF(M669="","",M669),IF($B$1="Duet",IF(P669="","",P669),IF($B$1="Mixed",IF(S669="","",S669),IF(V669="","",V669))))))</f>
        <v>#N/A</v>
      </c>
      <c r="C170" s="3" t="e">
        <f>IF('Coach Card'!$T$5="",IF($B$1="Solo",IF(N169="","",N169),IF($B$1="MSolo",IF(Q169="","",Q169),IF($B$1="Duet",IF(T169="","",T169),IF($B$1="Mixed",IF(W169="","",W169),IF(Z169="","",Z169))))),IF($B$1="Solo",IF(N669="","",N669),IF($B$1="MSolo",IF(N669="","",N669),IF($B$1="Duet",IF(Q669="","",Q669),IF($B$1="Mixed",IF(T669="","",T669),IF(W669="","",W669))))))</f>
        <v>#N/A</v>
      </c>
      <c r="D170" s="3" t="e">
        <f>IF('Coach Card'!$T$5="",IF($D$1="Team",IF(AG169="","",AG169),""),IF($D$1="Team",IF(AD669="","",AD669),""))</f>
        <v>#N/A</v>
      </c>
      <c r="E170" s="3" t="e">
        <f>IF('Coach Card'!$T$5="",IF($D$1="Team",IF(AH169="","",AH169),""),IF($D$1="Team",IF(AE669="","",AE669),""))</f>
        <v>#N/A</v>
      </c>
      <c r="O170" s="1"/>
      <c r="R170" s="1" t="s">
        <v>1765</v>
      </c>
      <c r="S170" t="s">
        <v>1989</v>
      </c>
      <c r="T170" s="3">
        <v>0.6</v>
      </c>
      <c r="U170" s="1" t="s">
        <v>1765</v>
      </c>
      <c r="V170" t="s">
        <v>1989</v>
      </c>
      <c r="W170" s="3">
        <v>0.6</v>
      </c>
      <c r="X170" s="1" t="s">
        <v>1765</v>
      </c>
      <c r="Y170" t="s">
        <v>1977</v>
      </c>
      <c r="Z170" s="3">
        <v>0.32500000000000001</v>
      </c>
      <c r="AK170" t="s">
        <v>1975</v>
      </c>
      <c r="AL170" t="s">
        <v>1780</v>
      </c>
      <c r="AM170">
        <v>0.5</v>
      </c>
    </row>
    <row r="171" spans="1:39" x14ac:dyDescent="0.35">
      <c r="A171" s="6" t="e">
        <f>IF('Coach Card'!$T$5="",IF($B$1="Solo",IF(L170="","",L170),IF($B$1="MSolo",IF(O170="","",O170),IF($B$1="Duet",IF(R170="","",R170),IF($B$1="Mixed",IF(U170="","",U170),IF(X170="","",X170))))),IF($B$1="Solo",IF(L670="","",L670),IF($B$1="MSolo",IF(L670="","",L670),IF($B$1="Duet",IF(O670="","",O670),IF($B$1="Mixed",IF(R670="","",R670),IF(U670="","",U670))))))</f>
        <v>#N/A</v>
      </c>
      <c r="B171" s="3" t="e">
        <f>IF('Coach Card'!$T$5="",IF($B$1="Solo",IF(M170="","",M170),IF($B$1="MSolo",IF(P170="","",P170),IF($B$1="Duet",IF(S170="","",S170),IF($B$1="Mixed",IF(V170="","",V170),IF(Y170="","",Y170))))),IF($B$1="Solo",IF(M670="","",M670),IF($B$1="MSolo",IF(M670="","",M670),IF($B$1="Duet",IF(P670="","",P670),IF($B$1="Mixed",IF(S670="","",S670),IF(V670="","",V670))))))</f>
        <v>#N/A</v>
      </c>
      <c r="C171" s="3" t="e">
        <f>IF('Coach Card'!$T$5="",IF($B$1="Solo",IF(N170="","",N170),IF($B$1="MSolo",IF(Q170="","",Q170),IF($B$1="Duet",IF(T170="","",T170),IF($B$1="Mixed",IF(W170="","",W170),IF(Z170="","",Z170))))),IF($B$1="Solo",IF(N670="","",N670),IF($B$1="MSolo",IF(N670="","",N670),IF($B$1="Duet",IF(Q670="","",Q670),IF($B$1="Mixed",IF(T670="","",T670),IF(W670="","",W670))))))</f>
        <v>#N/A</v>
      </c>
      <c r="D171" s="3" t="e">
        <f>IF('Coach Card'!$T$5="",IF($D$1="Team",IF(AG170="","",AG170),""),IF($D$1="Team",IF(AD670="","",AD670),""))</f>
        <v>#N/A</v>
      </c>
      <c r="E171" s="3" t="e">
        <f>IF('Coach Card'!$T$5="",IF($D$1="Team",IF(AH170="","",AH170),""),IF($D$1="Team",IF(AE670="","",AE670),""))</f>
        <v>#N/A</v>
      </c>
      <c r="O171" s="1"/>
      <c r="R171" s="1" t="s">
        <v>1765</v>
      </c>
      <c r="S171" t="s">
        <v>1990</v>
      </c>
      <c r="T171" s="3">
        <v>0.6</v>
      </c>
      <c r="U171" s="1" t="s">
        <v>1765</v>
      </c>
      <c r="V171" t="s">
        <v>1990</v>
      </c>
      <c r="W171" s="3">
        <v>0.6</v>
      </c>
      <c r="X171" s="1" t="s">
        <v>1765</v>
      </c>
      <c r="Y171" t="s">
        <v>1978</v>
      </c>
      <c r="Z171" s="3">
        <v>0.32500000000000001</v>
      </c>
      <c r="AK171" t="s">
        <v>1976</v>
      </c>
      <c r="AL171" t="s">
        <v>1781</v>
      </c>
      <c r="AM171">
        <v>0.5</v>
      </c>
    </row>
    <row r="172" spans="1:39" x14ac:dyDescent="0.35">
      <c r="A172" s="6" t="e">
        <f>IF('Coach Card'!$T$5="",IF($B$1="Solo",IF(L171="","",L171),IF($B$1="MSolo",IF(O171="","",O171),IF($B$1="Duet",IF(R171="","",R171),IF($B$1="Mixed",IF(U171="","",U171),IF(X171="","",X171))))),IF($B$1="Solo",IF(L671="","",L671),IF($B$1="MSolo",IF(L671="","",L671),IF($B$1="Duet",IF(O671="","",O671),IF($B$1="Mixed",IF(R671="","",R671),IF(U671="","",U671))))))</f>
        <v>#N/A</v>
      </c>
      <c r="B172" s="3" t="e">
        <f>IF('Coach Card'!$T$5="",IF($B$1="Solo",IF(M171="","",M171),IF($B$1="MSolo",IF(P171="","",P171),IF($B$1="Duet",IF(S171="","",S171),IF($B$1="Mixed",IF(V171="","",V171),IF(Y171="","",Y171))))),IF($B$1="Solo",IF(M671="","",M671),IF($B$1="MSolo",IF(M671="","",M671),IF($B$1="Duet",IF(P671="","",P671),IF($B$1="Mixed",IF(S671="","",S671),IF(V671="","",V671))))))</f>
        <v>#N/A</v>
      </c>
      <c r="C172" s="3" t="e">
        <f>IF('Coach Card'!$T$5="",IF($B$1="Solo",IF(N171="","",N171),IF($B$1="MSolo",IF(Q171="","",Q171),IF($B$1="Duet",IF(T171="","",T171),IF($B$1="Mixed",IF(W171="","",W171),IF(Z171="","",Z171))))),IF($B$1="Solo",IF(N671="","",N671),IF($B$1="MSolo",IF(N671="","",N671),IF($B$1="Duet",IF(Q671="","",Q671),IF($B$1="Mixed",IF(T671="","",T671),IF(W671="","",W671))))))</f>
        <v>#N/A</v>
      </c>
      <c r="D172" s="3" t="e">
        <f>IF('Coach Card'!$T$5="",IF($D$1="Team",IF(AG171="","",AG171),""),IF($D$1="Team",IF(AD671="","",AD671),""))</f>
        <v>#N/A</v>
      </c>
      <c r="E172" s="3" t="e">
        <f>IF('Coach Card'!$T$5="",IF($D$1="Team",IF(AH171="","",AH171),""),IF($D$1="Team",IF(AE671="","",AE671),""))</f>
        <v>#N/A</v>
      </c>
      <c r="O172" s="1"/>
      <c r="R172" s="1" t="s">
        <v>1765</v>
      </c>
      <c r="S172" t="s">
        <v>1991</v>
      </c>
      <c r="T172" s="3">
        <v>0.6</v>
      </c>
      <c r="U172" s="1" t="s">
        <v>1765</v>
      </c>
      <c r="V172" t="s">
        <v>1991</v>
      </c>
      <c r="W172" s="3">
        <v>0.6</v>
      </c>
      <c r="X172" s="1" t="s">
        <v>1765</v>
      </c>
      <c r="Y172" t="s">
        <v>1979</v>
      </c>
      <c r="Z172" s="3">
        <v>0.42499999999999999</v>
      </c>
      <c r="AK172" t="s">
        <v>1977</v>
      </c>
      <c r="AL172" t="s">
        <v>1782</v>
      </c>
      <c r="AM172">
        <v>0.5</v>
      </c>
    </row>
    <row r="173" spans="1:39" x14ac:dyDescent="0.35">
      <c r="A173" s="6" t="e">
        <f>IF('Coach Card'!$T$5="",IF($B$1="Solo",IF(L172="","",L172),IF($B$1="MSolo",IF(O172="","",O172),IF($B$1="Duet",IF(R172="","",R172),IF($B$1="Mixed",IF(U172="","",U172),IF(X172="","",X172))))),IF($B$1="Solo",IF(L672="","",L672),IF($B$1="MSolo",IF(L672="","",L672),IF($B$1="Duet",IF(O672="","",O672),IF($B$1="Mixed",IF(R672="","",R672),IF(U672="","",U672))))))</f>
        <v>#N/A</v>
      </c>
      <c r="B173" s="3" t="e">
        <f>IF('Coach Card'!$T$5="",IF($B$1="Solo",IF(M172="","",M172),IF($B$1="MSolo",IF(P172="","",P172),IF($B$1="Duet",IF(S172="","",S172),IF($B$1="Mixed",IF(V172="","",V172),IF(Y172="","",Y172))))),IF($B$1="Solo",IF(M672="","",M672),IF($B$1="MSolo",IF(M672="","",M672),IF($B$1="Duet",IF(P672="","",P672),IF($B$1="Mixed",IF(S672="","",S672),IF(V672="","",V672))))))</f>
        <v>#N/A</v>
      </c>
      <c r="C173" s="3" t="e">
        <f>IF('Coach Card'!$T$5="",IF($B$1="Solo",IF(N172="","",N172),IF($B$1="MSolo",IF(Q172="","",Q172),IF($B$1="Duet",IF(T172="","",T172),IF($B$1="Mixed",IF(W172="","",W172),IF(Z172="","",Z172))))),IF($B$1="Solo",IF(N672="","",N672),IF($B$1="MSolo",IF(N672="","",N672),IF($B$1="Duet",IF(Q672="","",Q672),IF($B$1="Mixed",IF(T672="","",T672),IF(W672="","",W672))))))</f>
        <v>#N/A</v>
      </c>
      <c r="D173" s="3" t="e">
        <f>IF('Coach Card'!$T$5="",IF($D$1="Team",IF(AG172="","",AG172),""),IF($D$1="Team",IF(AD672="","",AD672),""))</f>
        <v>#N/A</v>
      </c>
      <c r="E173" s="3" t="e">
        <f>IF('Coach Card'!$T$5="",IF($D$1="Team",IF(AH172="","",AH172),""),IF($D$1="Team",IF(AE672="","",AE672),""))</f>
        <v>#N/A</v>
      </c>
      <c r="O173" s="1"/>
      <c r="R173" s="1" t="s">
        <v>1765</v>
      </c>
      <c r="S173" t="s">
        <v>1992</v>
      </c>
      <c r="T173" s="3">
        <v>0.8</v>
      </c>
      <c r="U173" s="1" t="s">
        <v>1765</v>
      </c>
      <c r="V173" t="s">
        <v>1992</v>
      </c>
      <c r="W173" s="3">
        <v>0.8</v>
      </c>
      <c r="X173" s="1" t="s">
        <v>1765</v>
      </c>
      <c r="Y173" t="s">
        <v>1980</v>
      </c>
      <c r="Z173" s="3">
        <v>0.42499999999999999</v>
      </c>
      <c r="AK173" t="s">
        <v>1978</v>
      </c>
      <c r="AL173" t="s">
        <v>1783</v>
      </c>
      <c r="AM173">
        <v>0.5</v>
      </c>
    </row>
    <row r="174" spans="1:39" x14ac:dyDescent="0.35">
      <c r="A174" s="6" t="e">
        <f>IF('Coach Card'!$T$5="",IF($B$1="Solo",IF(L173="","",L173),IF($B$1="MSolo",IF(O173="","",O173),IF($B$1="Duet",IF(R173="","",R173),IF($B$1="Mixed",IF(U173="","",U173),IF(X173="","",X173))))),IF($B$1="Solo",IF(L673="","",L673),IF($B$1="MSolo",IF(L673="","",L673),IF($B$1="Duet",IF(O673="","",O673),IF($B$1="Mixed",IF(R673="","",R673),IF(U673="","",U673))))))</f>
        <v>#N/A</v>
      </c>
      <c r="B174" s="3" t="e">
        <f>IF('Coach Card'!$T$5="",IF($B$1="Solo",IF(M173="","",M173),IF($B$1="MSolo",IF(P173="","",P173),IF($B$1="Duet",IF(S173="","",S173),IF($B$1="Mixed",IF(V173="","",V173),IF(Y173="","",Y173))))),IF($B$1="Solo",IF(M673="","",M673),IF($B$1="MSolo",IF(M673="","",M673),IF($B$1="Duet",IF(P673="","",P673),IF($B$1="Mixed",IF(S673="","",S673),IF(V673="","",V673))))))</f>
        <v>#N/A</v>
      </c>
      <c r="C174" s="3" t="e">
        <f>IF('Coach Card'!$T$5="",IF($B$1="Solo",IF(N173="","",N173),IF($B$1="MSolo",IF(Q173="","",Q173),IF($B$1="Duet",IF(T173="","",T173),IF($B$1="Mixed",IF(W173="","",W173),IF(Z173="","",Z173))))),IF($B$1="Solo",IF(N673="","",N673),IF($B$1="MSolo",IF(N673="","",N673),IF($B$1="Duet",IF(Q673="","",Q673),IF($B$1="Mixed",IF(T673="","",T673),IF(W673="","",W673))))))</f>
        <v>#N/A</v>
      </c>
      <c r="D174" s="3" t="e">
        <f>IF('Coach Card'!$T$5="",IF($D$1="Team",IF(AG173="","",AG173),""),IF($D$1="Team",IF(AD673="","",AD673),""))</f>
        <v>#N/A</v>
      </c>
      <c r="E174" s="3" t="e">
        <f>IF('Coach Card'!$T$5="",IF($D$1="Team",IF(AH173="","",AH173),""),IF($D$1="Team",IF(AE673="","",AE673),""))</f>
        <v>#N/A</v>
      </c>
      <c r="O174" s="1"/>
      <c r="R174" s="1" t="s">
        <v>1765</v>
      </c>
      <c r="S174" t="s">
        <v>1993</v>
      </c>
      <c r="T174" s="3">
        <v>0.95</v>
      </c>
      <c r="U174" s="1" t="s">
        <v>1765</v>
      </c>
      <c r="V174" t="s">
        <v>1993</v>
      </c>
      <c r="W174" s="3">
        <v>0.95</v>
      </c>
      <c r="X174" s="1" t="s">
        <v>1765</v>
      </c>
      <c r="Y174" t="s">
        <v>1981</v>
      </c>
      <c r="Z174" s="3">
        <v>0.42499999999999999</v>
      </c>
      <c r="AK174" t="s">
        <v>1979</v>
      </c>
      <c r="AL174" t="s">
        <v>1784</v>
      </c>
      <c r="AM174">
        <v>0.5</v>
      </c>
    </row>
    <row r="175" spans="1:39" x14ac:dyDescent="0.35">
      <c r="A175" s="6" t="e">
        <f>IF('Coach Card'!$T$5="",IF($B$1="Solo",IF(L174="","",L174),IF($B$1="MSolo",IF(O174="","",O174),IF($B$1="Duet",IF(R174="","",R174),IF($B$1="Mixed",IF(U174="","",U174),IF(X174="","",X174))))),IF($B$1="Solo",IF(L674="","",L674),IF($B$1="MSolo",IF(L674="","",L674),IF($B$1="Duet",IF(O674="","",O674),IF($B$1="Mixed",IF(R674="","",R674),IF(U674="","",U674))))))</f>
        <v>#N/A</v>
      </c>
      <c r="B175" s="3" t="e">
        <f>IF('Coach Card'!$T$5="",IF($B$1="Solo",IF(M174="","",M174),IF($B$1="MSolo",IF(P174="","",P174),IF($B$1="Duet",IF(S174="","",S174),IF($B$1="Mixed",IF(V174="","",V174),IF(Y174="","",Y174))))),IF($B$1="Solo",IF(M674="","",M674),IF($B$1="MSolo",IF(M674="","",M674),IF($B$1="Duet",IF(P674="","",P674),IF($B$1="Mixed",IF(S674="","",S674),IF(V674="","",V674))))))</f>
        <v>#N/A</v>
      </c>
      <c r="C175" s="3" t="e">
        <f>IF('Coach Card'!$T$5="",IF($B$1="Solo",IF(N174="","",N174),IF($B$1="MSolo",IF(Q174="","",Q174),IF($B$1="Duet",IF(T174="","",T174),IF($B$1="Mixed",IF(W174="","",W174),IF(Z174="","",Z174))))),IF($B$1="Solo",IF(N674="","",N674),IF($B$1="MSolo",IF(N674="","",N674),IF($B$1="Duet",IF(Q674="","",Q674),IF($B$1="Mixed",IF(T674="","",T674),IF(W674="","",W674))))))</f>
        <v>#N/A</v>
      </c>
      <c r="D175" s="3" t="e">
        <f>IF('Coach Card'!$T$5="",IF($D$1="Team",IF(AG174="","",AG174),""),IF($D$1="Team",IF(AD674="","",AD674),""))</f>
        <v>#N/A</v>
      </c>
      <c r="E175" s="3" t="e">
        <f>IF('Coach Card'!$T$5="",IF($D$1="Team",IF(AH174="","",AH174),""),IF($D$1="Team",IF(AE674="","",AE674),""))</f>
        <v>#N/A</v>
      </c>
      <c r="O175" s="1"/>
      <c r="R175" s="1" t="s">
        <v>1765</v>
      </c>
      <c r="S175" t="s">
        <v>2457</v>
      </c>
      <c r="T175" s="3">
        <v>1</v>
      </c>
      <c r="U175" s="1" t="s">
        <v>1765</v>
      </c>
      <c r="V175" t="s">
        <v>2457</v>
      </c>
      <c r="W175" s="3">
        <v>1</v>
      </c>
      <c r="X175" s="1" t="s">
        <v>1765</v>
      </c>
      <c r="Y175" t="s">
        <v>1982</v>
      </c>
      <c r="Z175" s="3">
        <v>0.42499999999999999</v>
      </c>
      <c r="AK175" t="s">
        <v>1980</v>
      </c>
      <c r="AL175" t="s">
        <v>1785</v>
      </c>
      <c r="AM175">
        <v>0.5</v>
      </c>
    </row>
    <row r="176" spans="1:39" x14ac:dyDescent="0.35">
      <c r="A176" s="6" t="e">
        <f>IF('Coach Card'!$T$5="",IF($B$1="Solo",IF(L175="","",L175),IF($B$1="MSolo",IF(O175="","",O175),IF($B$1="Duet",IF(R175="","",R175),IF($B$1="Mixed",IF(U175="","",U175),IF(X175="","",X175))))),IF($B$1="Solo",IF(L675="","",L675),IF($B$1="MSolo",IF(L675="","",L675),IF($B$1="Duet",IF(O675="","",O675),IF($B$1="Mixed",IF(R675="","",R675),IF(U675="","",U675))))))</f>
        <v>#N/A</v>
      </c>
      <c r="B176" s="3" t="e">
        <f>IF('Coach Card'!$T$5="",IF($B$1="Solo",IF(M175="","",M175),IF($B$1="MSolo",IF(P175="","",P175),IF($B$1="Duet",IF(S175="","",S175),IF($B$1="Mixed",IF(V175="","",V175),IF(Y175="","",Y175))))),IF($B$1="Solo",IF(M675="","",M675),IF($B$1="MSolo",IF(M675="","",M675),IF($B$1="Duet",IF(P675="","",P675),IF($B$1="Mixed",IF(S675="","",S675),IF(V675="","",V675))))))</f>
        <v>#N/A</v>
      </c>
      <c r="C176" s="3" t="e">
        <f>IF('Coach Card'!$T$5="",IF($B$1="Solo",IF(N175="","",N175),IF($B$1="MSolo",IF(Q175="","",Q175),IF($B$1="Duet",IF(T175="","",T175),IF($B$1="Mixed",IF(W175="","",W175),IF(Z175="","",Z175))))),IF($B$1="Solo",IF(N675="","",N675),IF($B$1="MSolo",IF(N675="","",N675),IF($B$1="Duet",IF(Q675="","",Q675),IF($B$1="Mixed",IF(T675="","",T675),IF(W675="","",W675))))))</f>
        <v>#N/A</v>
      </c>
      <c r="D176" s="3" t="e">
        <f>IF('Coach Card'!$T$5="",IF($D$1="Team",IF(AG175="","",AG175),""),IF($D$1="Team",IF(AD675="","",AD675),""))</f>
        <v>#N/A</v>
      </c>
      <c r="E176" s="3" t="e">
        <f>IF('Coach Card'!$T$5="",IF($D$1="Team",IF(AH175="","",AH175),""),IF($D$1="Team",IF(AE675="","",AE675),""))</f>
        <v>#N/A</v>
      </c>
      <c r="O176" s="1"/>
      <c r="R176" s="1" t="s">
        <v>1765</v>
      </c>
      <c r="S176" t="s">
        <v>2458</v>
      </c>
      <c r="T176" s="3">
        <v>1.1499999999999999</v>
      </c>
      <c r="U176" s="1" t="s">
        <v>1765</v>
      </c>
      <c r="V176" t="s">
        <v>2458</v>
      </c>
      <c r="W176" s="3">
        <v>1.1499999999999999</v>
      </c>
      <c r="X176" s="1" t="s">
        <v>1765</v>
      </c>
      <c r="Y176" t="s">
        <v>1983</v>
      </c>
      <c r="Z176" s="3">
        <v>0.42499999999999999</v>
      </c>
      <c r="AK176" t="s">
        <v>1981</v>
      </c>
      <c r="AL176" t="s">
        <v>1786</v>
      </c>
      <c r="AM176">
        <v>0.5</v>
      </c>
    </row>
    <row r="177" spans="1:39" x14ac:dyDescent="0.35">
      <c r="A177" s="6" t="e">
        <f>IF('Coach Card'!$T$5="",IF($B$1="Solo",IF(L176="","",L176),IF($B$1="MSolo",IF(O176="","",O176),IF($B$1="Duet",IF(R176="","",R176),IF($B$1="Mixed",IF(U176="","",U176),IF(X176="","",X176))))),IF($B$1="Solo",IF(L676="","",L676),IF($B$1="MSolo",IF(L676="","",L676),IF($B$1="Duet",IF(O676="","",O676),IF($B$1="Mixed",IF(R676="","",R676),IF(U676="","",U676))))))</f>
        <v>#N/A</v>
      </c>
      <c r="B177" s="3" t="e">
        <f>IF('Coach Card'!$T$5="",IF($B$1="Solo",IF(M176="","",M176),IF($B$1="MSolo",IF(P176="","",P176),IF($B$1="Duet",IF(S176="","",S176),IF($B$1="Mixed",IF(V176="","",V176),IF(Y176="","",Y176))))),IF($B$1="Solo",IF(M676="","",M676),IF($B$1="MSolo",IF(M676="","",M676),IF($B$1="Duet",IF(P676="","",P676),IF($B$1="Mixed",IF(S676="","",S676),IF(V676="","",V676))))))</f>
        <v>#N/A</v>
      </c>
      <c r="C177" s="3" t="e">
        <f>IF('Coach Card'!$T$5="",IF($B$1="Solo",IF(N176="","",N176),IF($B$1="MSolo",IF(Q176="","",Q176),IF($B$1="Duet",IF(T176="","",T176),IF($B$1="Mixed",IF(W176="","",W176),IF(Z176="","",Z176))))),IF($B$1="Solo",IF(N676="","",N676),IF($B$1="MSolo",IF(N676="","",N676),IF($B$1="Duet",IF(Q676="","",Q676),IF($B$1="Mixed",IF(T676="","",T676),IF(W676="","",W676))))))</f>
        <v>#N/A</v>
      </c>
      <c r="D177" s="3" t="e">
        <f>IF('Coach Card'!$T$5="",IF($D$1="Team",IF(AG176="","",AG176),""),IF($D$1="Team",IF(AD676="","",AD676),""))</f>
        <v>#N/A</v>
      </c>
      <c r="E177" s="3" t="e">
        <f>IF('Coach Card'!$T$5="",IF($D$1="Team",IF(AH176="","",AH176),""),IF($D$1="Team",IF(AE676="","",AE676),""))</f>
        <v>#N/A</v>
      </c>
      <c r="O177" s="1"/>
      <c r="R177" s="1" t="s">
        <v>1766</v>
      </c>
      <c r="S177" t="s">
        <v>2149</v>
      </c>
      <c r="T177" s="3">
        <v>7.4999999999999997E-2</v>
      </c>
      <c r="U177" s="1" t="s">
        <v>1766</v>
      </c>
      <c r="V177" t="s">
        <v>2149</v>
      </c>
      <c r="W177" s="3">
        <v>7.4999999999999997E-2</v>
      </c>
      <c r="X177" s="1" t="s">
        <v>1765</v>
      </c>
      <c r="Y177" t="s">
        <v>1984</v>
      </c>
      <c r="Z177" s="3">
        <v>0.45</v>
      </c>
      <c r="AK177" t="s">
        <v>1982</v>
      </c>
      <c r="AL177" t="s">
        <v>1787</v>
      </c>
      <c r="AM177">
        <v>0.5</v>
      </c>
    </row>
    <row r="178" spans="1:39" x14ac:dyDescent="0.35">
      <c r="A178" s="6" t="e">
        <f>IF('Coach Card'!$T$5="",IF($B$1="Solo",IF(L177="","",L177),IF($B$1="MSolo",IF(O177="","",O177),IF($B$1="Duet",IF(R177="","",R177),IF($B$1="Mixed",IF(U177="","",U177),IF(X177="","",X177))))),IF($B$1="Solo",IF(L677="","",L677),IF($B$1="MSolo",IF(L677="","",L677),IF($B$1="Duet",IF(O677="","",O677),IF($B$1="Mixed",IF(R677="","",R677),IF(U677="","",U677))))))</f>
        <v>#N/A</v>
      </c>
      <c r="B178" s="3" t="e">
        <f>IF('Coach Card'!$T$5="",IF($B$1="Solo",IF(M177="","",M177),IF($B$1="MSolo",IF(P177="","",P177),IF($B$1="Duet",IF(S177="","",S177),IF($B$1="Mixed",IF(V177="","",V177),IF(Y177="","",Y177))))),IF($B$1="Solo",IF(M677="","",M677),IF($B$1="MSolo",IF(M677="","",M677),IF($B$1="Duet",IF(P677="","",P677),IF($B$1="Mixed",IF(S677="","",S677),IF(V677="","",V677))))))</f>
        <v>#N/A</v>
      </c>
      <c r="C178" s="3" t="e">
        <f>IF('Coach Card'!$T$5="",IF($B$1="Solo",IF(N177="","",N177),IF($B$1="MSolo",IF(Q177="","",Q177),IF($B$1="Duet",IF(T177="","",T177),IF($B$1="Mixed",IF(W177="","",W177),IF(Z177="","",Z177))))),IF($B$1="Solo",IF(N677="","",N677),IF($B$1="MSolo",IF(N677="","",N677),IF($B$1="Duet",IF(Q677="","",Q677),IF($B$1="Mixed",IF(T677="","",T677),IF(W677="","",W677))))))</f>
        <v>#N/A</v>
      </c>
      <c r="D178" s="3" t="e">
        <f>IF('Coach Card'!$T$5="",IF($D$1="Team",IF(AG177="","",AG177),""),IF($D$1="Team",IF(AD677="","",AD677),""))</f>
        <v>#N/A</v>
      </c>
      <c r="E178" s="3" t="e">
        <f>IF('Coach Card'!$T$5="",IF($D$1="Team",IF(AH177="","",AH177),""),IF($D$1="Team",IF(AE677="","",AE677),""))</f>
        <v>#N/A</v>
      </c>
      <c r="O178" s="1"/>
      <c r="R178" s="1" t="s">
        <v>1766</v>
      </c>
      <c r="S178" t="s">
        <v>2150</v>
      </c>
      <c r="T178" s="3">
        <v>0.2</v>
      </c>
      <c r="U178" s="1" t="s">
        <v>1766</v>
      </c>
      <c r="V178" t="s">
        <v>2150</v>
      </c>
      <c r="W178" s="3">
        <v>0.2</v>
      </c>
      <c r="X178" s="1" t="s">
        <v>1765</v>
      </c>
      <c r="Y178" t="s">
        <v>1985</v>
      </c>
      <c r="Z178" s="3">
        <v>0.45</v>
      </c>
      <c r="AK178" t="s">
        <v>1983</v>
      </c>
      <c r="AL178" t="s">
        <v>1853</v>
      </c>
      <c r="AM178">
        <v>0.5</v>
      </c>
    </row>
    <row r="179" spans="1:39" x14ac:dyDescent="0.35">
      <c r="A179" s="6" t="e">
        <f>IF('Coach Card'!$T$5="",IF($B$1="Solo",IF(L178="","",L178),IF($B$1="MSolo",IF(O178="","",O178),IF($B$1="Duet",IF(R178="","",R178),IF($B$1="Mixed",IF(U178="","",U178),IF(X178="","",X178))))),IF($B$1="Solo",IF(L678="","",L678),IF($B$1="MSolo",IF(L678="","",L678),IF($B$1="Duet",IF(O678="","",O678),IF($B$1="Mixed",IF(R678="","",R678),IF(U678="","",U678))))))</f>
        <v>#N/A</v>
      </c>
      <c r="B179" s="3" t="e">
        <f>IF('Coach Card'!$T$5="",IF($B$1="Solo",IF(M178="","",M178),IF($B$1="MSolo",IF(P178="","",P178),IF($B$1="Duet",IF(S178="","",S178),IF($B$1="Mixed",IF(V178="","",V178),IF(Y178="","",Y178))))),IF($B$1="Solo",IF(M678="","",M678),IF($B$1="MSolo",IF(M678="","",M678),IF($B$1="Duet",IF(P678="","",P678),IF($B$1="Mixed",IF(S678="","",S678),IF(V678="","",V678))))))</f>
        <v>#N/A</v>
      </c>
      <c r="C179" s="3" t="e">
        <f>IF('Coach Card'!$T$5="",IF($B$1="Solo",IF(N178="","",N178),IF($B$1="MSolo",IF(Q178="","",Q178),IF($B$1="Duet",IF(T178="","",T178),IF($B$1="Mixed",IF(W178="","",W178),IF(Z178="","",Z178))))),IF($B$1="Solo",IF(N678="","",N678),IF($B$1="MSolo",IF(N678="","",N678),IF($B$1="Duet",IF(Q678="","",Q678),IF($B$1="Mixed",IF(T678="","",T678),IF(W678="","",W678))))))</f>
        <v>#N/A</v>
      </c>
      <c r="D179" s="3" t="e">
        <f>IF('Coach Card'!$T$5="",IF($D$1="Team",IF(AG178="","",AG178),""),IF($D$1="Team",IF(AD678="","",AD678),""))</f>
        <v>#N/A</v>
      </c>
      <c r="E179" s="3" t="e">
        <f>IF('Coach Card'!$T$5="",IF($D$1="Team",IF(AH178="","",AH178),""),IF($D$1="Team",IF(AE678="","",AE678),""))</f>
        <v>#N/A</v>
      </c>
      <c r="O179" s="1"/>
      <c r="R179" s="1" t="s">
        <v>1766</v>
      </c>
      <c r="S179" t="s">
        <v>2151</v>
      </c>
      <c r="T179" s="3">
        <v>0.22500000000000001</v>
      </c>
      <c r="U179" s="1" t="s">
        <v>1766</v>
      </c>
      <c r="V179" t="s">
        <v>2151</v>
      </c>
      <c r="W179" s="3">
        <v>0.22500000000000001</v>
      </c>
      <c r="X179" s="1" t="s">
        <v>1765</v>
      </c>
      <c r="Y179" t="s">
        <v>1986</v>
      </c>
      <c r="Z179" s="3">
        <v>0.45</v>
      </c>
      <c r="AK179" t="s">
        <v>1984</v>
      </c>
      <c r="AL179" t="s">
        <v>1788</v>
      </c>
      <c r="AM179">
        <v>0.5</v>
      </c>
    </row>
    <row r="180" spans="1:39" x14ac:dyDescent="0.35">
      <c r="A180" s="6" t="e">
        <f>IF('Coach Card'!$T$5="",IF($B$1="Solo",IF(L179="","",L179),IF($B$1="MSolo",IF(O179="","",O179),IF($B$1="Duet",IF(R179="","",R179),IF($B$1="Mixed",IF(U179="","",U179),IF(X179="","",X179))))),IF($B$1="Solo",IF(L679="","",L679),IF($B$1="MSolo",IF(L679="","",L679),IF($B$1="Duet",IF(O679="","",O679),IF($B$1="Mixed",IF(R679="","",R679),IF(U679="","",U679))))))</f>
        <v>#N/A</v>
      </c>
      <c r="B180" s="3" t="e">
        <f>IF('Coach Card'!$T$5="",IF($B$1="Solo",IF(M179="","",M179),IF($B$1="MSolo",IF(P179="","",P179),IF($B$1="Duet",IF(S179="","",S179),IF($B$1="Mixed",IF(V179="","",V179),IF(Y179="","",Y179))))),IF($B$1="Solo",IF(M679="","",M679),IF($B$1="MSolo",IF(M679="","",M679),IF($B$1="Duet",IF(P679="","",P679),IF($B$1="Mixed",IF(S679="","",S679),IF(V679="","",V679))))))</f>
        <v>#N/A</v>
      </c>
      <c r="C180" s="3" t="e">
        <f>IF('Coach Card'!$T$5="",IF($B$1="Solo",IF(N179="","",N179),IF($B$1="MSolo",IF(Q179="","",Q179),IF($B$1="Duet",IF(T179="","",T179),IF($B$1="Mixed",IF(W179="","",W179),IF(Z179="","",Z179))))),IF($B$1="Solo",IF(N679="","",N679),IF($B$1="MSolo",IF(N679="","",N679),IF($B$1="Duet",IF(Q679="","",Q679),IF($B$1="Mixed",IF(T679="","",T679),IF(W679="","",W679))))))</f>
        <v>#N/A</v>
      </c>
      <c r="D180" s="3" t="e">
        <f>IF('Coach Card'!$T$5="",IF($D$1="Team",IF(AG179="","",AG179),""),IF($D$1="Team",IF(AD679="","",AD679),""))</f>
        <v>#N/A</v>
      </c>
      <c r="E180" s="3" t="e">
        <f>IF('Coach Card'!$T$5="",IF($D$1="Team",IF(AH179="","",AH179),""),IF($D$1="Team",IF(AE679="","",AE679),""))</f>
        <v>#N/A</v>
      </c>
      <c r="O180" s="1"/>
      <c r="R180" s="1" t="s">
        <v>1766</v>
      </c>
      <c r="S180" t="s">
        <v>2152</v>
      </c>
      <c r="T180" s="3">
        <v>0.2</v>
      </c>
      <c r="U180" s="1" t="s">
        <v>1766</v>
      </c>
      <c r="V180" t="s">
        <v>2152</v>
      </c>
      <c r="W180" s="3">
        <v>0.2</v>
      </c>
      <c r="X180" s="1" t="s">
        <v>1765</v>
      </c>
      <c r="Y180" t="s">
        <v>1987</v>
      </c>
      <c r="Z180" s="3">
        <v>0.45</v>
      </c>
      <c r="AK180" t="s">
        <v>1985</v>
      </c>
      <c r="AL180" t="s">
        <v>1789</v>
      </c>
      <c r="AM180">
        <v>0.5</v>
      </c>
    </row>
    <row r="181" spans="1:39" x14ac:dyDescent="0.35">
      <c r="A181" s="6" t="e">
        <f>IF('Coach Card'!$T$5="",IF($B$1="Solo",IF(L180="","",L180),IF($B$1="MSolo",IF(O180="","",O180),IF($B$1="Duet",IF(R180="","",R180),IF($B$1="Mixed",IF(U180="","",U180),IF(X180="","",X180))))),IF($B$1="Solo",IF(L680="","",L680),IF($B$1="MSolo",IF(L680="","",L680),IF($B$1="Duet",IF(O680="","",O680),IF($B$1="Mixed",IF(R680="","",R680),IF(U680="","",U680))))))</f>
        <v>#N/A</v>
      </c>
      <c r="B181" s="3" t="e">
        <f>IF('Coach Card'!$T$5="",IF($B$1="Solo",IF(M180="","",M180),IF($B$1="MSolo",IF(P180="","",P180),IF($B$1="Duet",IF(S180="","",S180),IF($B$1="Mixed",IF(V180="","",V180),IF(Y180="","",Y180))))),IF($B$1="Solo",IF(M680="","",M680),IF($B$1="MSolo",IF(M680="","",M680),IF($B$1="Duet",IF(P680="","",P680),IF($B$1="Mixed",IF(S680="","",S680),IF(V680="","",V680))))))</f>
        <v>#N/A</v>
      </c>
      <c r="C181" s="3" t="e">
        <f>IF('Coach Card'!$T$5="",IF($B$1="Solo",IF(N180="","",N180),IF($B$1="MSolo",IF(Q180="","",Q180),IF($B$1="Duet",IF(T180="","",T180),IF($B$1="Mixed",IF(W180="","",W180),IF(Z180="","",Z180))))),IF($B$1="Solo",IF(N680="","",N680),IF($B$1="MSolo",IF(N680="","",N680),IF($B$1="Duet",IF(Q680="","",Q680),IF($B$1="Mixed",IF(T680="","",T680),IF(W680="","",W680))))))</f>
        <v>#N/A</v>
      </c>
      <c r="D181" s="3" t="e">
        <f>IF('Coach Card'!$T$5="",IF($D$1="Team",IF(AG180="","",AG180),""),IF($D$1="Team",IF(AD680="","",AD680),""))</f>
        <v>#N/A</v>
      </c>
      <c r="E181" s="3" t="e">
        <f>IF('Coach Card'!$T$5="",IF($D$1="Team",IF(AH180="","",AH180),""),IF($D$1="Team",IF(AE680="","",AE680),""))</f>
        <v>#N/A</v>
      </c>
      <c r="O181" s="1"/>
      <c r="R181" s="1" t="s">
        <v>1766</v>
      </c>
      <c r="S181" t="s">
        <v>2153</v>
      </c>
      <c r="T181" s="3">
        <v>0.47499999999999998</v>
      </c>
      <c r="U181" s="1" t="s">
        <v>1766</v>
      </c>
      <c r="V181" t="s">
        <v>2153</v>
      </c>
      <c r="W181" s="3">
        <v>0.47499999999999998</v>
      </c>
      <c r="X181" s="1" t="s">
        <v>1765</v>
      </c>
      <c r="Y181" t="s">
        <v>1988</v>
      </c>
      <c r="Z181" s="3">
        <v>0.45</v>
      </c>
      <c r="AK181" t="s">
        <v>1986</v>
      </c>
      <c r="AL181" t="s">
        <v>1790</v>
      </c>
      <c r="AM181">
        <v>0.5</v>
      </c>
    </row>
    <row r="182" spans="1:39" x14ac:dyDescent="0.35">
      <c r="A182" s="6" t="e">
        <f>IF('Coach Card'!$T$5="",IF($B$1="Solo",IF(L181="","",L181),IF($B$1="MSolo",IF(O181="","",O181),IF($B$1="Duet",IF(R181="","",R181),IF($B$1="Mixed",IF(U181="","",U181),IF(X181="","",X181))))),IF($B$1="Solo",IF(L681="","",L681),IF($B$1="MSolo",IF(L681="","",L681),IF($B$1="Duet",IF(O681="","",O681),IF($B$1="Mixed",IF(R681="","",R681),IF(U681="","",U681))))))</f>
        <v>#N/A</v>
      </c>
      <c r="B182" s="3" t="e">
        <f>IF('Coach Card'!$T$5="",IF($B$1="Solo",IF(M181="","",M181),IF($B$1="MSolo",IF(P181="","",P181),IF($B$1="Duet",IF(S181="","",S181),IF($B$1="Mixed",IF(V181="","",V181),IF(Y181="","",Y181))))),IF($B$1="Solo",IF(M681="","",M681),IF($B$1="MSolo",IF(M681="","",M681),IF($B$1="Duet",IF(P681="","",P681),IF($B$1="Mixed",IF(S681="","",S681),IF(V681="","",V681))))))</f>
        <v>#N/A</v>
      </c>
      <c r="C182" s="3" t="e">
        <f>IF('Coach Card'!$T$5="",IF($B$1="Solo",IF(N181="","",N181),IF($B$1="MSolo",IF(Q181="","",Q181),IF($B$1="Duet",IF(T181="","",T181),IF($B$1="Mixed",IF(W181="","",W181),IF(Z181="","",Z181))))),IF($B$1="Solo",IF(N681="","",N681),IF($B$1="MSolo",IF(N681="","",N681),IF($B$1="Duet",IF(Q681="","",Q681),IF($B$1="Mixed",IF(T681="","",T681),IF(W681="","",W681))))))</f>
        <v>#N/A</v>
      </c>
      <c r="D182" s="3" t="e">
        <f>IF('Coach Card'!$T$5="",IF($D$1="Team",IF(AG181="","",AG181),""),IF($D$1="Team",IF(AD681="","",AD681),""))</f>
        <v>#N/A</v>
      </c>
      <c r="E182" s="3" t="e">
        <f>IF('Coach Card'!$T$5="",IF($D$1="Team",IF(AH181="","",AH181),""),IF($D$1="Team",IF(AE681="","",AE681),""))</f>
        <v>#N/A</v>
      </c>
      <c r="O182" s="1"/>
      <c r="R182" s="1" t="s">
        <v>1766</v>
      </c>
      <c r="S182" t="s">
        <v>2154</v>
      </c>
      <c r="T182" s="3">
        <v>0.5</v>
      </c>
      <c r="U182" s="1" t="s">
        <v>1766</v>
      </c>
      <c r="V182" t="s">
        <v>2154</v>
      </c>
      <c r="W182" s="3">
        <v>0.5</v>
      </c>
      <c r="X182" s="1" t="s">
        <v>1765</v>
      </c>
      <c r="Y182" t="s">
        <v>1989</v>
      </c>
      <c r="Z182" s="3">
        <v>0.6</v>
      </c>
      <c r="AK182" t="s">
        <v>1987</v>
      </c>
      <c r="AL182" t="s">
        <v>1791</v>
      </c>
      <c r="AM182">
        <v>0.5</v>
      </c>
    </row>
    <row r="183" spans="1:39" x14ac:dyDescent="0.35">
      <c r="A183" s="6" t="e">
        <f>IF('Coach Card'!$T$5="",IF($B$1="Solo",IF(L182="","",L182),IF($B$1="MSolo",IF(O182="","",O182),IF($B$1="Duet",IF(R182="","",R182),IF($B$1="Mixed",IF(U182="","",U182),IF(X182="","",X182))))),IF($B$1="Solo",IF(L682="","",L682),IF($B$1="MSolo",IF(L682="","",L682),IF($B$1="Duet",IF(O682="","",O682),IF($B$1="Mixed",IF(R682="","",R682),IF(U682="","",U682))))))</f>
        <v>#N/A</v>
      </c>
      <c r="B183" s="3" t="e">
        <f>IF('Coach Card'!$T$5="",IF($B$1="Solo",IF(M182="","",M182),IF($B$1="MSolo",IF(P182="","",P182),IF($B$1="Duet",IF(S182="","",S182),IF($B$1="Mixed",IF(V182="","",V182),IF(Y182="","",Y182))))),IF($B$1="Solo",IF(M682="","",M682),IF($B$1="MSolo",IF(M682="","",M682),IF($B$1="Duet",IF(P682="","",P682),IF($B$1="Mixed",IF(S682="","",S682),IF(V682="","",V682))))))</f>
        <v>#N/A</v>
      </c>
      <c r="C183" s="3" t="e">
        <f>IF('Coach Card'!$T$5="",IF($B$1="Solo",IF(N182="","",N182),IF($B$1="MSolo",IF(Q182="","",Q182),IF($B$1="Duet",IF(T182="","",T182),IF($B$1="Mixed",IF(W182="","",W182),IF(Z182="","",Z182))))),IF($B$1="Solo",IF(N682="","",N682),IF($B$1="MSolo",IF(N682="","",N682),IF($B$1="Duet",IF(Q682="","",Q682),IF($B$1="Mixed",IF(T682="","",T682),IF(W682="","",W682))))))</f>
        <v>#N/A</v>
      </c>
      <c r="D183" s="3" t="e">
        <f>IF('Coach Card'!$T$5="",IF($D$1="Team",IF(AG182="","",AG182),""),IF($D$1="Team",IF(AD682="","",AD682),""))</f>
        <v>#N/A</v>
      </c>
      <c r="E183" s="3" t="e">
        <f>IF('Coach Card'!$T$5="",IF($D$1="Team",IF(AH182="","",AH182),""),IF($D$1="Team",IF(AE682="","",AE682),""))</f>
        <v>#N/A</v>
      </c>
      <c r="O183" s="1"/>
      <c r="R183" s="1" t="s">
        <v>1766</v>
      </c>
      <c r="S183" t="s">
        <v>2155</v>
      </c>
      <c r="T183" s="3">
        <v>0.45</v>
      </c>
      <c r="U183" s="1" t="s">
        <v>1766</v>
      </c>
      <c r="V183" t="s">
        <v>2155</v>
      </c>
      <c r="W183" s="3">
        <v>0.45</v>
      </c>
      <c r="X183" s="1" t="s">
        <v>1765</v>
      </c>
      <c r="Y183" t="s">
        <v>1990</v>
      </c>
      <c r="Z183" s="3">
        <v>0.6</v>
      </c>
      <c r="AK183" t="s">
        <v>1988</v>
      </c>
      <c r="AL183" t="s">
        <v>1792</v>
      </c>
      <c r="AM183">
        <v>0.5</v>
      </c>
    </row>
    <row r="184" spans="1:39" x14ac:dyDescent="0.35">
      <c r="A184" s="6" t="e">
        <f>IF('Coach Card'!$T$5="",IF($B$1="Solo",IF(L183="","",L183),IF($B$1="MSolo",IF(O183="","",O183),IF($B$1="Duet",IF(R183="","",R183),IF($B$1="Mixed",IF(U183="","",U183),IF(X183="","",X183))))),IF($B$1="Solo",IF(L683="","",L683),IF($B$1="MSolo",IF(L683="","",L683),IF($B$1="Duet",IF(O683="","",O683),IF($B$1="Mixed",IF(R683="","",R683),IF(U683="","",U683))))))</f>
        <v>#N/A</v>
      </c>
      <c r="B184" s="3" t="e">
        <f>IF('Coach Card'!$T$5="",IF($B$1="Solo",IF(M183="","",M183),IF($B$1="MSolo",IF(P183="","",P183),IF($B$1="Duet",IF(S183="","",S183),IF($B$1="Mixed",IF(V183="","",V183),IF(Y183="","",Y183))))),IF($B$1="Solo",IF(M683="","",M683),IF($B$1="MSolo",IF(M683="","",M683),IF($B$1="Duet",IF(P683="","",P683),IF($B$1="Mixed",IF(S683="","",S683),IF(V683="","",V683))))))</f>
        <v>#N/A</v>
      </c>
      <c r="C184" s="3" t="e">
        <f>IF('Coach Card'!$T$5="",IF($B$1="Solo",IF(N183="","",N183),IF($B$1="MSolo",IF(Q183="","",Q183),IF($B$1="Duet",IF(T183="","",T183),IF($B$1="Mixed",IF(W183="","",W183),IF(Z183="","",Z183))))),IF($B$1="Solo",IF(N683="","",N683),IF($B$1="MSolo",IF(N683="","",N683),IF($B$1="Duet",IF(Q683="","",Q683),IF($B$1="Mixed",IF(T683="","",T683),IF(W683="","",W683))))))</f>
        <v>#N/A</v>
      </c>
      <c r="D184" s="3" t="e">
        <f>IF('Coach Card'!$T$5="",IF($D$1="Team",IF(AG183="","",AG183),""),IF($D$1="Team",IF(AD683="","",AD683),""))</f>
        <v>#N/A</v>
      </c>
      <c r="E184" s="3" t="e">
        <f>IF('Coach Card'!$T$5="",IF($D$1="Team",IF(AH183="","",AH183),""),IF($D$1="Team",IF(AE683="","",AE683),""))</f>
        <v>#N/A</v>
      </c>
      <c r="O184" s="1"/>
      <c r="R184" s="1" t="s">
        <v>1766</v>
      </c>
      <c r="S184" t="s">
        <v>2156</v>
      </c>
      <c r="T184" s="3">
        <v>0.97499999999999998</v>
      </c>
      <c r="U184" s="1" t="s">
        <v>1766</v>
      </c>
      <c r="V184" t="s">
        <v>2156</v>
      </c>
      <c r="W184" s="3">
        <v>0.97499999999999998</v>
      </c>
      <c r="X184" s="1" t="s">
        <v>1765</v>
      </c>
      <c r="Y184" t="s">
        <v>1991</v>
      </c>
      <c r="Z184" s="3">
        <v>0.6</v>
      </c>
      <c r="AK184" t="s">
        <v>1989</v>
      </c>
      <c r="AL184" t="s">
        <v>1793</v>
      </c>
      <c r="AM184">
        <v>0.5</v>
      </c>
    </row>
    <row r="185" spans="1:39" x14ac:dyDescent="0.35">
      <c r="A185" s="6" t="e">
        <f>IF('Coach Card'!$T$5="",IF($B$1="Solo",IF(L184="","",L184),IF($B$1="MSolo",IF(O184="","",O184),IF($B$1="Duet",IF(R184="","",R184),IF($B$1="Mixed",IF(U184="","",U184),IF(X184="","",X184))))),IF($B$1="Solo",IF(L684="","",L684),IF($B$1="MSolo",IF(L684="","",L684),IF($B$1="Duet",IF(O684="","",O684),IF($B$1="Mixed",IF(R684="","",R684),IF(U684="","",U684))))))</f>
        <v>#N/A</v>
      </c>
      <c r="B185" s="3" t="e">
        <f>IF('Coach Card'!$T$5="",IF($B$1="Solo",IF(M184="","",M184),IF($B$1="MSolo",IF(P184="","",P184),IF($B$1="Duet",IF(S184="","",S184),IF($B$1="Mixed",IF(V184="","",V184),IF(Y184="","",Y184))))),IF($B$1="Solo",IF(M684="","",M684),IF($B$1="MSolo",IF(M684="","",M684),IF($B$1="Duet",IF(P684="","",P684),IF($B$1="Mixed",IF(S684="","",S684),IF(V684="","",V684))))))</f>
        <v>#N/A</v>
      </c>
      <c r="C185" s="3" t="e">
        <f>IF('Coach Card'!$T$5="",IF($B$1="Solo",IF(N184="","",N184),IF($B$1="MSolo",IF(Q184="","",Q184),IF($B$1="Duet",IF(T184="","",T184),IF($B$1="Mixed",IF(W184="","",W184),IF(Z184="","",Z184))))),IF($B$1="Solo",IF(N684="","",N684),IF($B$1="MSolo",IF(N684="","",N684),IF($B$1="Duet",IF(Q684="","",Q684),IF($B$1="Mixed",IF(T684="","",T684),IF(W684="","",W684))))))</f>
        <v>#N/A</v>
      </c>
      <c r="D185" s="3" t="e">
        <f>IF('Coach Card'!$T$5="",IF($D$1="Team",IF(AG184="","",AG184),""),IF($D$1="Team",IF(AD684="","",AD684),""))</f>
        <v>#N/A</v>
      </c>
      <c r="E185" s="3" t="e">
        <f>IF('Coach Card'!$T$5="",IF($D$1="Team",IF(AH184="","",AH184),""),IF($D$1="Team",IF(AE684="","",AE684),""))</f>
        <v>#N/A</v>
      </c>
      <c r="O185" s="1"/>
      <c r="R185" s="1" t="s">
        <v>1766</v>
      </c>
      <c r="S185" t="s">
        <v>2157</v>
      </c>
      <c r="T185" s="3">
        <v>1</v>
      </c>
      <c r="U185" s="1" t="s">
        <v>1766</v>
      </c>
      <c r="V185" t="s">
        <v>2157</v>
      </c>
      <c r="W185" s="3">
        <v>1</v>
      </c>
      <c r="X185" s="1" t="s">
        <v>1765</v>
      </c>
      <c r="Y185" t="s">
        <v>1992</v>
      </c>
      <c r="Z185" s="3">
        <v>0.8</v>
      </c>
      <c r="AK185" t="s">
        <v>1990</v>
      </c>
      <c r="AL185" t="s">
        <v>1794</v>
      </c>
      <c r="AM185">
        <v>0.5</v>
      </c>
    </row>
    <row r="186" spans="1:39" x14ac:dyDescent="0.35">
      <c r="A186" s="6" t="e">
        <f>IF('Coach Card'!$T$5="",IF($B$1="Solo",IF(L185="","",L185),IF($B$1="MSolo",IF(O185="","",O185),IF($B$1="Duet",IF(R185="","",R185),IF($B$1="Mixed",IF(U185="","",U185),IF(X185="","",X185))))),IF($B$1="Solo",IF(L685="","",L685),IF($B$1="MSolo",IF(L685="","",L685),IF($B$1="Duet",IF(O685="","",O685),IF($B$1="Mixed",IF(R685="","",R685),IF(U685="","",U685))))))</f>
        <v>#N/A</v>
      </c>
      <c r="B186" s="3" t="e">
        <f>IF('Coach Card'!$T$5="",IF($B$1="Solo",IF(M185="","",M185),IF($B$1="MSolo",IF(P185="","",P185),IF($B$1="Duet",IF(S185="","",S185),IF($B$1="Mixed",IF(V185="","",V185),IF(Y185="","",Y185))))),IF($B$1="Solo",IF(M685="","",M685),IF($B$1="MSolo",IF(M685="","",M685),IF($B$1="Duet",IF(P685="","",P685),IF($B$1="Mixed",IF(S685="","",S685),IF(V685="","",V685))))))</f>
        <v>#N/A</v>
      </c>
      <c r="C186" s="3" t="e">
        <f>IF('Coach Card'!$T$5="",IF($B$1="Solo",IF(N185="","",N185),IF($B$1="MSolo",IF(Q185="","",Q185),IF($B$1="Duet",IF(T185="","",T185),IF($B$1="Mixed",IF(W185="","",W185),IF(Z185="","",Z185))))),IF($B$1="Solo",IF(N685="","",N685),IF($B$1="MSolo",IF(N685="","",N685),IF($B$1="Duet",IF(Q685="","",Q685),IF($B$1="Mixed",IF(T685="","",T685),IF(W685="","",W685))))))</f>
        <v>#N/A</v>
      </c>
      <c r="D186" s="3" t="e">
        <f>IF('Coach Card'!$T$5="",IF($D$1="Team",IF(AG185="","",AG185),""),IF($D$1="Team",IF(AD685="","",AD685),""))</f>
        <v>#N/A</v>
      </c>
      <c r="E186" s="3" t="e">
        <f>IF('Coach Card'!$T$5="",IF($D$1="Team",IF(AH185="","",AH185),""),IF($D$1="Team",IF(AE685="","",AE685),""))</f>
        <v>#N/A</v>
      </c>
      <c r="O186" s="1"/>
      <c r="R186" s="1" t="s">
        <v>1766</v>
      </c>
      <c r="S186" t="s">
        <v>2158</v>
      </c>
      <c r="T186" s="3">
        <v>0.7</v>
      </c>
      <c r="U186" s="1" t="s">
        <v>1766</v>
      </c>
      <c r="V186" t="s">
        <v>2158</v>
      </c>
      <c r="W186" s="3">
        <v>0.7</v>
      </c>
      <c r="X186" s="1" t="s">
        <v>1765</v>
      </c>
      <c r="Y186" t="s">
        <v>1993</v>
      </c>
      <c r="Z186" s="3">
        <v>0.95</v>
      </c>
      <c r="AK186" t="s">
        <v>1991</v>
      </c>
      <c r="AL186" t="s">
        <v>1795</v>
      </c>
      <c r="AM186">
        <v>0.5</v>
      </c>
    </row>
    <row r="187" spans="1:39" x14ac:dyDescent="0.35">
      <c r="A187" s="6" t="e">
        <f>IF('Coach Card'!$T$5="",IF($B$1="Solo",IF(L186="","",L186),IF($B$1="MSolo",IF(O186="","",O186),IF($B$1="Duet",IF(R186="","",R186),IF($B$1="Mixed",IF(U186="","",U186),IF(X186="","",X186))))),IF($B$1="Solo",IF(L686="","",L686),IF($B$1="MSolo",IF(L686="","",L686),IF($B$1="Duet",IF(O686="","",O686),IF($B$1="Mixed",IF(R686="","",R686),IF(U686="","",U686))))))</f>
        <v>#N/A</v>
      </c>
      <c r="B187" s="3" t="e">
        <f>IF('Coach Card'!$T$5="",IF($B$1="Solo",IF(M186="","",M186),IF($B$1="MSolo",IF(P186="","",P186),IF($B$1="Duet",IF(S186="","",S186),IF($B$1="Mixed",IF(V186="","",V186),IF(Y186="","",Y186))))),IF($B$1="Solo",IF(M686="","",M686),IF($B$1="MSolo",IF(M686="","",M686),IF($B$1="Duet",IF(P686="","",P686),IF($B$1="Mixed",IF(S686="","",S686),IF(V686="","",V686))))))</f>
        <v>#N/A</v>
      </c>
      <c r="C187" s="3" t="e">
        <f>IF('Coach Card'!$T$5="",IF($B$1="Solo",IF(N186="","",N186),IF($B$1="MSolo",IF(Q186="","",Q186),IF($B$1="Duet",IF(T186="","",T186),IF($B$1="Mixed",IF(W186="","",W186),IF(Z186="","",Z186))))),IF($B$1="Solo",IF(N686="","",N686),IF($B$1="MSolo",IF(N686="","",N686),IF($B$1="Duet",IF(Q686="","",Q686),IF($B$1="Mixed",IF(T686="","",T686),IF(W686="","",W686))))))</f>
        <v>#N/A</v>
      </c>
      <c r="D187" s="3" t="e">
        <f>IF('Coach Card'!$T$5="",IF($D$1="Team",IF(AG186="","",AG186),""),IF($D$1="Team",IF(AD686="","",AD686),""))</f>
        <v>#N/A</v>
      </c>
      <c r="E187" s="3" t="e">
        <f>IF('Coach Card'!$T$5="",IF($D$1="Team",IF(AH186="","",AH186),""),IF($D$1="Team",IF(AE686="","",AE686),""))</f>
        <v>#N/A</v>
      </c>
      <c r="O187" s="1"/>
      <c r="R187" s="1" t="s">
        <v>1766</v>
      </c>
      <c r="S187" t="s">
        <v>2159</v>
      </c>
      <c r="T187" s="3">
        <v>1.4750000000000001</v>
      </c>
      <c r="U187" s="1" t="s">
        <v>1766</v>
      </c>
      <c r="V187" t="s">
        <v>2159</v>
      </c>
      <c r="W187" s="3">
        <v>1.4750000000000001</v>
      </c>
      <c r="X187" s="1" t="s">
        <v>1765</v>
      </c>
      <c r="Y187" t="s">
        <v>2457</v>
      </c>
      <c r="Z187" s="3">
        <v>1</v>
      </c>
      <c r="AK187" t="s">
        <v>1992</v>
      </c>
      <c r="AL187" t="s">
        <v>54</v>
      </c>
      <c r="AM187">
        <v>0.5</v>
      </c>
    </row>
    <row r="188" spans="1:39" x14ac:dyDescent="0.35">
      <c r="A188" s="6" t="e">
        <f>IF('Coach Card'!$T$5="",IF($B$1="Solo",IF(L187="","",L187),IF($B$1="MSolo",IF(O187="","",O187),IF($B$1="Duet",IF(R187="","",R187),IF($B$1="Mixed",IF(U187="","",U187),IF(X187="","",X187))))),IF($B$1="Solo",IF(L687="","",L687),IF($B$1="MSolo",IF(L687="","",L687),IF($B$1="Duet",IF(O687="","",O687),IF($B$1="Mixed",IF(R687="","",R687),IF(U687="","",U687))))))</f>
        <v>#N/A</v>
      </c>
      <c r="B188" s="3" t="e">
        <f>IF('Coach Card'!$T$5="",IF($B$1="Solo",IF(M187="","",M187),IF($B$1="MSolo",IF(P187="","",P187),IF($B$1="Duet",IF(S187="","",S187),IF($B$1="Mixed",IF(V187="","",V187),IF(Y187="","",Y187))))),IF($B$1="Solo",IF(M687="","",M687),IF($B$1="MSolo",IF(M687="","",M687),IF($B$1="Duet",IF(P687="","",P687),IF($B$1="Mixed",IF(S687="","",S687),IF(V687="","",V687))))))</f>
        <v>#N/A</v>
      </c>
      <c r="C188" s="3" t="e">
        <f>IF('Coach Card'!$T$5="",IF($B$1="Solo",IF(N187="","",N187),IF($B$1="MSolo",IF(Q187="","",Q187),IF($B$1="Duet",IF(T187="","",T187),IF($B$1="Mixed",IF(W187="","",W187),IF(Z187="","",Z187))))),IF($B$1="Solo",IF(N687="","",N687),IF($B$1="MSolo",IF(N687="","",N687),IF($B$1="Duet",IF(Q687="","",Q687),IF($B$1="Mixed",IF(T687="","",T687),IF(W687="","",W687))))))</f>
        <v>#N/A</v>
      </c>
      <c r="D188" s="3" t="e">
        <f>IF('Coach Card'!$T$5="",IF($D$1="Team",IF(AG187="","",AG187),""),IF($D$1="Team",IF(AD687="","",AD687),""))</f>
        <v>#N/A</v>
      </c>
      <c r="E188" s="3" t="e">
        <f>IF('Coach Card'!$T$5="",IF($D$1="Team",IF(AH187="","",AH187),""),IF($D$1="Team",IF(AE687="","",AE687),""))</f>
        <v>#N/A</v>
      </c>
      <c r="O188" s="1"/>
      <c r="R188" s="1" t="s">
        <v>1766</v>
      </c>
      <c r="S188" t="s">
        <v>2160</v>
      </c>
      <c r="T188" s="3">
        <v>1.5</v>
      </c>
      <c r="U188" s="1" t="s">
        <v>1766</v>
      </c>
      <c r="V188" t="s">
        <v>2160</v>
      </c>
      <c r="W188" s="3">
        <v>1.5</v>
      </c>
      <c r="X188" s="1" t="s">
        <v>1765</v>
      </c>
      <c r="Y188" t="s">
        <v>2458</v>
      </c>
      <c r="Z188" s="3">
        <v>1.1499999999999999</v>
      </c>
      <c r="AK188" t="s">
        <v>1993</v>
      </c>
      <c r="AL188" t="s">
        <v>55</v>
      </c>
      <c r="AM188">
        <v>0.5</v>
      </c>
    </row>
    <row r="189" spans="1:39" x14ac:dyDescent="0.35">
      <c r="A189" s="6" t="e">
        <f>IF('Coach Card'!$T$5="",IF($B$1="Solo",IF(L188="","",L188),IF($B$1="MSolo",IF(O188="","",O188),IF($B$1="Duet",IF(R188="","",R188),IF($B$1="Mixed",IF(U188="","",U188),IF(X188="","",X188))))),IF($B$1="Solo",IF(L688="","",L688),IF($B$1="MSolo",IF(L688="","",L688),IF($B$1="Duet",IF(O688="","",O688),IF($B$1="Mixed",IF(R688="","",R688),IF(U688="","",U688))))))</f>
        <v>#N/A</v>
      </c>
      <c r="B189" s="3" t="e">
        <f>IF('Coach Card'!$T$5="",IF($B$1="Solo",IF(M188="","",M188),IF($B$1="MSolo",IF(P188="","",P188),IF($B$1="Duet",IF(S188="","",S188),IF($B$1="Mixed",IF(V188="","",V188),IF(Y188="","",Y188))))),IF($B$1="Solo",IF(M688="","",M688),IF($B$1="MSolo",IF(M688="","",M688),IF($B$1="Duet",IF(P688="","",P688),IF($B$1="Mixed",IF(S688="","",S688),IF(V688="","",V688))))))</f>
        <v>#N/A</v>
      </c>
      <c r="C189" s="3" t="e">
        <f>IF('Coach Card'!$T$5="",IF($B$1="Solo",IF(N188="","",N188),IF($B$1="MSolo",IF(Q188="","",Q188),IF($B$1="Duet",IF(T188="","",T188),IF($B$1="Mixed",IF(W188="","",W188),IF(Z188="","",Z188))))),IF($B$1="Solo",IF(N688="","",N688),IF($B$1="MSolo",IF(N688="","",N688),IF($B$1="Duet",IF(Q688="","",Q688),IF($B$1="Mixed",IF(T688="","",T688),IF(W688="","",W688))))))</f>
        <v>#N/A</v>
      </c>
      <c r="D189" s="3" t="e">
        <f>IF('Coach Card'!$T$5="",IF($D$1="Team",IF(AG188="","",AG188),""),IF($D$1="Team",IF(AD688="","",AD688),""))</f>
        <v>#N/A</v>
      </c>
      <c r="E189" s="3" t="e">
        <f>IF('Coach Card'!$T$5="",IF($D$1="Team",IF(AH188="","",AH188),""),IF($D$1="Team",IF(AE688="","",AE688),""))</f>
        <v>#N/A</v>
      </c>
      <c r="O189" s="1"/>
      <c r="R189" s="1" t="s">
        <v>1766</v>
      </c>
      <c r="S189" t="s">
        <v>2161</v>
      </c>
      <c r="T189" s="3">
        <v>0.95</v>
      </c>
      <c r="U189" s="1" t="s">
        <v>1766</v>
      </c>
      <c r="V189" t="s">
        <v>2161</v>
      </c>
      <c r="W189" s="3">
        <v>0.95</v>
      </c>
      <c r="X189" s="1" t="s">
        <v>1766</v>
      </c>
      <c r="Y189" t="s">
        <v>2149</v>
      </c>
      <c r="Z189" s="3">
        <v>7.4999999999999997E-2</v>
      </c>
      <c r="AK189" t="s">
        <v>2457</v>
      </c>
      <c r="AL189" t="s">
        <v>2452</v>
      </c>
      <c r="AM189">
        <v>0.5</v>
      </c>
    </row>
    <row r="190" spans="1:39" x14ac:dyDescent="0.35">
      <c r="A190" s="6" t="e">
        <f>IF('Coach Card'!$T$5="",IF($B$1="Solo",IF(L189="","",L189),IF($B$1="MSolo",IF(O189="","",O189),IF($B$1="Duet",IF(R189="","",R189),IF($B$1="Mixed",IF(U189="","",U189),IF(X189="","",X189))))),IF($B$1="Solo",IF(L689="","",L689),IF($B$1="MSolo",IF(L689="","",L689),IF($B$1="Duet",IF(O689="","",O689),IF($B$1="Mixed",IF(R689="","",R689),IF(U689="","",U689))))))</f>
        <v>#N/A</v>
      </c>
      <c r="B190" s="3" t="e">
        <f>IF('Coach Card'!$T$5="",IF($B$1="Solo",IF(M189="","",M189),IF($B$1="MSolo",IF(P189="","",P189),IF($B$1="Duet",IF(S189="","",S189),IF($B$1="Mixed",IF(V189="","",V189),IF(Y189="","",Y189))))),IF($B$1="Solo",IF(M689="","",M689),IF($B$1="MSolo",IF(M689="","",M689),IF($B$1="Duet",IF(P689="","",P689),IF($B$1="Mixed",IF(S689="","",S689),IF(V689="","",V689))))))</f>
        <v>#N/A</v>
      </c>
      <c r="C190" s="3" t="e">
        <f>IF('Coach Card'!$T$5="",IF($B$1="Solo",IF(N189="","",N189),IF($B$1="MSolo",IF(Q189="","",Q189),IF($B$1="Duet",IF(T189="","",T189),IF($B$1="Mixed",IF(W189="","",W189),IF(Z189="","",Z189))))),IF($B$1="Solo",IF(N689="","",N689),IF($B$1="MSolo",IF(N689="","",N689),IF($B$1="Duet",IF(Q689="","",Q689),IF($B$1="Mixed",IF(T689="","",T689),IF(W689="","",W689))))))</f>
        <v>#N/A</v>
      </c>
      <c r="D190" s="3" t="e">
        <f>IF('Coach Card'!$T$5="",IF($D$1="Team",IF(AG189="","",AG189),""),IF($D$1="Team",IF(AD689="","",AD689),""))</f>
        <v>#N/A</v>
      </c>
      <c r="E190" s="3" t="e">
        <f>IF('Coach Card'!$T$5="",IF($D$1="Team",IF(AH189="","",AH189),""),IF($D$1="Team",IF(AE689="","",AE689),""))</f>
        <v>#N/A</v>
      </c>
      <c r="O190" s="1"/>
      <c r="R190" s="1" t="s">
        <v>1766</v>
      </c>
      <c r="S190" t="s">
        <v>2162</v>
      </c>
      <c r="T190" s="3">
        <v>1.9750000000000001</v>
      </c>
      <c r="U190" s="1" t="s">
        <v>1766</v>
      </c>
      <c r="V190" t="s">
        <v>2162</v>
      </c>
      <c r="W190" s="3">
        <v>1.9750000000000001</v>
      </c>
      <c r="X190" s="1" t="s">
        <v>1766</v>
      </c>
      <c r="Y190" t="s">
        <v>2150</v>
      </c>
      <c r="Z190" s="3">
        <v>0.2</v>
      </c>
      <c r="AK190" t="s">
        <v>1994</v>
      </c>
      <c r="AL190" t="s">
        <v>1796</v>
      </c>
      <c r="AM190">
        <v>0.5</v>
      </c>
    </row>
    <row r="191" spans="1:39" x14ac:dyDescent="0.35">
      <c r="A191" s="6" t="e">
        <f>IF('Coach Card'!$T$5="",IF($B$1="Solo",IF(L190="","",L190),IF($B$1="MSolo",IF(O190="","",O190),IF($B$1="Duet",IF(R190="","",R190),IF($B$1="Mixed",IF(U190="","",U190),IF(X190="","",X190))))),IF($B$1="Solo",IF(L690="","",L690),IF($B$1="MSolo",IF(L690="","",L690),IF($B$1="Duet",IF(O690="","",O690),IF($B$1="Mixed",IF(R690="","",R690),IF(U690="","",U690))))))</f>
        <v>#N/A</v>
      </c>
      <c r="B191" s="3" t="e">
        <f>IF('Coach Card'!$T$5="",IF($B$1="Solo",IF(M190="","",M190),IF($B$1="MSolo",IF(P190="","",P190),IF($B$1="Duet",IF(S190="","",S190),IF($B$1="Mixed",IF(V190="","",V190),IF(Y190="","",Y190))))),IF($B$1="Solo",IF(M690="","",M690),IF($B$1="MSolo",IF(M690="","",M690),IF($B$1="Duet",IF(P690="","",P690),IF($B$1="Mixed",IF(S690="","",S690),IF(V690="","",V690))))))</f>
        <v>#N/A</v>
      </c>
      <c r="C191" s="3" t="e">
        <f>IF('Coach Card'!$T$5="",IF($B$1="Solo",IF(N190="","",N190),IF($B$1="MSolo",IF(Q190="","",Q190),IF($B$1="Duet",IF(T190="","",T190),IF($B$1="Mixed",IF(W190="","",W190),IF(Z190="","",Z190))))),IF($B$1="Solo",IF(N690="","",N690),IF($B$1="MSolo",IF(N690="","",N690),IF($B$1="Duet",IF(Q690="","",Q690),IF($B$1="Mixed",IF(T690="","",T690),IF(W690="","",W690))))))</f>
        <v>#N/A</v>
      </c>
      <c r="D191" s="3" t="e">
        <f>IF('Coach Card'!$T$5="",IF($D$1="Team",IF(AG190="","",AG190),""),IF($D$1="Team",IF(AD690="","",AD690),""))</f>
        <v>#N/A</v>
      </c>
      <c r="E191" s="3" t="e">
        <f>IF('Coach Card'!$T$5="",IF($D$1="Team",IF(AH190="","",AH190),""),IF($D$1="Team",IF(AE690="","",AE690),""))</f>
        <v>#N/A</v>
      </c>
      <c r="O191" s="1"/>
      <c r="R191" s="1" t="s">
        <v>1766</v>
      </c>
      <c r="S191" t="s">
        <v>2163</v>
      </c>
      <c r="T191" s="3">
        <v>2</v>
      </c>
      <c r="U191" s="1" t="s">
        <v>1766</v>
      </c>
      <c r="V191" t="s">
        <v>2163</v>
      </c>
      <c r="W191" s="3">
        <v>2</v>
      </c>
      <c r="X191" s="1" t="s">
        <v>1766</v>
      </c>
      <c r="Y191" t="s">
        <v>2151</v>
      </c>
      <c r="Z191" s="3">
        <v>0.22500000000000001</v>
      </c>
      <c r="AK191" t="s">
        <v>1995</v>
      </c>
      <c r="AL191" t="s">
        <v>1797</v>
      </c>
      <c r="AM191">
        <v>0.5</v>
      </c>
    </row>
    <row r="192" spans="1:39" x14ac:dyDescent="0.35">
      <c r="A192" s="6" t="e">
        <f>IF('Coach Card'!$T$5="",IF($B$1="Solo",IF(L191="","",L191),IF($B$1="MSolo",IF(O191="","",O191),IF($B$1="Duet",IF(R191="","",R191),IF($B$1="Mixed",IF(U191="","",U191),IF(X191="","",X191))))),IF($B$1="Solo",IF(L691="","",L691),IF($B$1="MSolo",IF(L691="","",L691),IF($B$1="Duet",IF(O691="","",O691),IF($B$1="Mixed",IF(R691="","",R691),IF(U691="","",U691))))))</f>
        <v>#N/A</v>
      </c>
      <c r="B192" s="3" t="e">
        <f>IF('Coach Card'!$T$5="",IF($B$1="Solo",IF(M191="","",M191),IF($B$1="MSolo",IF(P191="","",P191),IF($B$1="Duet",IF(S191="","",S191),IF($B$1="Mixed",IF(V191="","",V191),IF(Y191="","",Y191))))),IF($B$1="Solo",IF(M691="","",M691),IF($B$1="MSolo",IF(M691="","",M691),IF($B$1="Duet",IF(P691="","",P691),IF($B$1="Mixed",IF(S691="","",S691),IF(V691="","",V691))))))</f>
        <v>#N/A</v>
      </c>
      <c r="C192" s="3" t="e">
        <f>IF('Coach Card'!$T$5="",IF($B$1="Solo",IF(N191="","",N191),IF($B$1="MSolo",IF(Q191="","",Q191),IF($B$1="Duet",IF(T191="","",T191),IF($B$1="Mixed",IF(W191="","",W191),IF(Z191="","",Z191))))),IF($B$1="Solo",IF(N691="","",N691),IF($B$1="MSolo",IF(N691="","",N691),IF($B$1="Duet",IF(Q691="","",Q691),IF($B$1="Mixed",IF(T691="","",T691),IF(W691="","",W691))))))</f>
        <v>#N/A</v>
      </c>
      <c r="D192" s="3" t="e">
        <f>IF('Coach Card'!$T$5="",IF($D$1="Team",IF(AG191="","",AG191),""),IF($D$1="Team",IF(AD691="","",AD691),""))</f>
        <v>#N/A</v>
      </c>
      <c r="E192" s="3" t="e">
        <f>IF('Coach Card'!$T$5="",IF($D$1="Team",IF(AH191="","",AH191),""),IF($D$1="Team",IF(AE691="","",AE691),""))</f>
        <v>#N/A</v>
      </c>
      <c r="O192" s="1"/>
      <c r="R192" s="1" t="s">
        <v>1766</v>
      </c>
      <c r="S192" t="s">
        <v>2164</v>
      </c>
      <c r="T192" s="3">
        <v>1.2</v>
      </c>
      <c r="U192" s="1" t="s">
        <v>1766</v>
      </c>
      <c r="V192" t="s">
        <v>2164</v>
      </c>
      <c r="W192" s="3">
        <v>1.2</v>
      </c>
      <c r="X192" s="1" t="s">
        <v>1766</v>
      </c>
      <c r="Y192" t="s">
        <v>2152</v>
      </c>
      <c r="Z192" s="3">
        <v>0.2</v>
      </c>
      <c r="AK192" t="s">
        <v>2458</v>
      </c>
      <c r="AL192" t="s">
        <v>2453</v>
      </c>
      <c r="AM192">
        <v>0.5</v>
      </c>
    </row>
    <row r="193" spans="1:39" x14ac:dyDescent="0.35">
      <c r="A193" s="6" t="e">
        <f>IF('Coach Card'!$T$5="",IF($B$1="Solo",IF(L192="","",L192),IF($B$1="MSolo",IF(O192="","",O192),IF($B$1="Duet",IF(R192="","",R192),IF($B$1="Mixed",IF(U192="","",U192),IF(X192="","",X192))))),IF($B$1="Solo",IF(L692="","",L692),IF($B$1="MSolo",IF(L692="","",L692),IF($B$1="Duet",IF(O692="","",O692),IF($B$1="Mixed",IF(R692="","",R692),IF(U692="","",U692))))))</f>
        <v>#N/A</v>
      </c>
      <c r="B193" s="3" t="e">
        <f>IF('Coach Card'!$T$5="",IF($B$1="Solo",IF(M192="","",M192),IF($B$1="MSolo",IF(P192="","",P192),IF($B$1="Duet",IF(S192="","",S192),IF($B$1="Mixed",IF(V192="","",V192),IF(Y192="","",Y192))))),IF($B$1="Solo",IF(M692="","",M692),IF($B$1="MSolo",IF(M692="","",M692),IF($B$1="Duet",IF(P692="","",P692),IF($B$1="Mixed",IF(S692="","",S692),IF(V692="","",V692))))))</f>
        <v>#N/A</v>
      </c>
      <c r="C193" s="3" t="e">
        <f>IF('Coach Card'!$T$5="",IF($B$1="Solo",IF(N192="","",N192),IF($B$1="MSolo",IF(Q192="","",Q192),IF($B$1="Duet",IF(T192="","",T192),IF($B$1="Mixed",IF(W192="","",W192),IF(Z192="","",Z192))))),IF($B$1="Solo",IF(N692="","",N692),IF($B$1="MSolo",IF(N692="","",N692),IF($B$1="Duet",IF(Q692="","",Q692),IF($B$1="Mixed",IF(T692="","",T692),IF(W692="","",W692))))))</f>
        <v>#N/A</v>
      </c>
      <c r="D193" s="3" t="e">
        <f>IF('Coach Card'!$T$5="",IF($D$1="Team",IF(AG192="","",AG192),""),IF($D$1="Team",IF(AD692="","",AD692),""))</f>
        <v>#N/A</v>
      </c>
      <c r="E193" s="3" t="e">
        <f>IF('Coach Card'!$T$5="",IF($D$1="Team",IF(AH192="","",AH192),""),IF($D$1="Team",IF(AE692="","",AE692),""))</f>
        <v>#N/A</v>
      </c>
      <c r="O193" s="1"/>
      <c r="R193" s="1" t="s">
        <v>1766</v>
      </c>
      <c r="S193" t="s">
        <v>2165</v>
      </c>
      <c r="T193" s="3">
        <v>2.4750000000000001</v>
      </c>
      <c r="U193" s="1" t="s">
        <v>1766</v>
      </c>
      <c r="V193" t="s">
        <v>2165</v>
      </c>
      <c r="W193" s="3">
        <v>2.4750000000000001</v>
      </c>
      <c r="X193" s="1" t="s">
        <v>1766</v>
      </c>
      <c r="Y193" t="s">
        <v>2153</v>
      </c>
      <c r="Z193" s="3">
        <v>0.47499999999999998</v>
      </c>
      <c r="AK193" t="s">
        <v>2149</v>
      </c>
      <c r="AL193" t="s">
        <v>1633</v>
      </c>
      <c r="AM193">
        <v>0.5</v>
      </c>
    </row>
    <row r="194" spans="1:39" x14ac:dyDescent="0.35">
      <c r="A194" s="6" t="e">
        <f>IF('Coach Card'!$T$5="",IF($B$1="Solo",IF(L193="","",L193),IF($B$1="MSolo",IF(O193="","",O193),IF($B$1="Duet",IF(R193="","",R193),IF($B$1="Mixed",IF(U193="","",U193),IF(X193="","",X193))))),IF($B$1="Solo",IF(L693="","",L693),IF($B$1="MSolo",IF(L693="","",L693),IF($B$1="Duet",IF(O693="","",O693),IF($B$1="Mixed",IF(R693="","",R693),IF(U693="","",U693))))))</f>
        <v>#N/A</v>
      </c>
      <c r="B194" s="3" t="e">
        <f>IF('Coach Card'!$T$5="",IF($B$1="Solo",IF(M193="","",M193),IF($B$1="MSolo",IF(P193="","",P193),IF($B$1="Duet",IF(S193="","",S193),IF($B$1="Mixed",IF(V193="","",V193),IF(Y193="","",Y193))))),IF($B$1="Solo",IF(M693="","",M693),IF($B$1="MSolo",IF(M693="","",M693),IF($B$1="Duet",IF(P693="","",P693),IF($B$1="Mixed",IF(S693="","",S693),IF(V693="","",V693))))))</f>
        <v>#N/A</v>
      </c>
      <c r="C194" s="3" t="e">
        <f>IF('Coach Card'!$T$5="",IF($B$1="Solo",IF(N193="","",N193),IF($B$1="MSolo",IF(Q193="","",Q193),IF($B$1="Duet",IF(T193="","",T193),IF($B$1="Mixed",IF(W193="","",W193),IF(Z193="","",Z193))))),IF($B$1="Solo",IF(N693="","",N693),IF($B$1="MSolo",IF(N693="","",N693),IF($B$1="Duet",IF(Q693="","",Q693),IF($B$1="Mixed",IF(T693="","",T693),IF(W693="","",W693))))))</f>
        <v>#N/A</v>
      </c>
      <c r="D194" s="3" t="e">
        <f>IF('Coach Card'!$T$5="",IF($D$1="Team",IF(AG193="","",AG193),""),IF($D$1="Team",IF(AD693="","",AD693),""))</f>
        <v>#N/A</v>
      </c>
      <c r="E194" s="3" t="e">
        <f>IF('Coach Card'!$T$5="",IF($D$1="Team",IF(AH193="","",AH193),""),IF($D$1="Team",IF(AE693="","",AE693),""))</f>
        <v>#N/A</v>
      </c>
      <c r="O194" s="1"/>
      <c r="R194" s="1" t="s">
        <v>1766</v>
      </c>
      <c r="S194" t="s">
        <v>2166</v>
      </c>
      <c r="T194" s="3">
        <v>2.5</v>
      </c>
      <c r="U194" s="1" t="s">
        <v>1766</v>
      </c>
      <c r="V194" t="s">
        <v>2166</v>
      </c>
      <c r="W194" s="3">
        <v>2.5</v>
      </c>
      <c r="X194" s="1" t="s">
        <v>1766</v>
      </c>
      <c r="Y194" t="s">
        <v>2154</v>
      </c>
      <c r="Z194" s="3">
        <v>0.5</v>
      </c>
      <c r="AK194" t="s">
        <v>2150</v>
      </c>
      <c r="AL194" t="s">
        <v>1634</v>
      </c>
      <c r="AM194">
        <v>0.5</v>
      </c>
    </row>
    <row r="195" spans="1:39" x14ac:dyDescent="0.35">
      <c r="A195" s="6" t="e">
        <f>IF('Coach Card'!$T$5="",IF($B$1="Solo",IF(L194="","",L194),IF($B$1="MSolo",IF(O194="","",O194),IF($B$1="Duet",IF(R194="","",R194),IF($B$1="Mixed",IF(U194="","",U194),IF(X194="","",X194))))),IF($B$1="Solo",IF(L694="","",L694),IF($B$1="MSolo",IF(L694="","",L694),IF($B$1="Duet",IF(O694="","",O694),IF($B$1="Mixed",IF(R694="","",R694),IF(U694="","",U694))))))</f>
        <v>#N/A</v>
      </c>
      <c r="B195" s="3" t="e">
        <f>IF('Coach Card'!$T$5="",IF($B$1="Solo",IF(M194="","",M194),IF($B$1="MSolo",IF(P194="","",P194),IF($B$1="Duet",IF(S194="","",S194),IF($B$1="Mixed",IF(V194="","",V194),IF(Y194="","",Y194))))),IF($B$1="Solo",IF(M694="","",M694),IF($B$1="MSolo",IF(M694="","",M694),IF($B$1="Duet",IF(P694="","",P694),IF($B$1="Mixed",IF(S694="","",S694),IF(V694="","",V694))))))</f>
        <v>#N/A</v>
      </c>
      <c r="C195" s="3" t="e">
        <f>IF('Coach Card'!$T$5="",IF($B$1="Solo",IF(N194="","",N194),IF($B$1="MSolo",IF(Q194="","",Q194),IF($B$1="Duet",IF(T194="","",T194),IF($B$1="Mixed",IF(W194="","",W194),IF(Z194="","",Z194))))),IF($B$1="Solo",IF(N694="","",N694),IF($B$1="MSolo",IF(N694="","",N694),IF($B$1="Duet",IF(Q694="","",Q694),IF($B$1="Mixed",IF(T694="","",T694),IF(W694="","",W694))))))</f>
        <v>#N/A</v>
      </c>
      <c r="D195" s="3" t="e">
        <f>IF('Coach Card'!$T$5="",IF($D$1="Team",IF(AG194="","",AG194),""),IF($D$1="Team",IF(AD694="","",AD694),""))</f>
        <v>#N/A</v>
      </c>
      <c r="E195" s="3" t="e">
        <f>IF('Coach Card'!$T$5="",IF($D$1="Team",IF(AH194="","",AH194),""),IF($D$1="Team",IF(AE694="","",AE694),""))</f>
        <v>#N/A</v>
      </c>
      <c r="O195" s="1"/>
      <c r="R195" s="1" t="s">
        <v>1766</v>
      </c>
      <c r="S195" t="s">
        <v>2167</v>
      </c>
      <c r="T195" s="3">
        <v>1.45</v>
      </c>
      <c r="U195" s="1" t="s">
        <v>1766</v>
      </c>
      <c r="V195" t="s">
        <v>2167</v>
      </c>
      <c r="W195" s="3">
        <v>1.45</v>
      </c>
      <c r="X195" s="1" t="s">
        <v>1766</v>
      </c>
      <c r="Y195" t="s">
        <v>2155</v>
      </c>
      <c r="Z195" s="3">
        <v>0.45</v>
      </c>
      <c r="AK195" t="s">
        <v>2151</v>
      </c>
      <c r="AL195" t="s">
        <v>1635</v>
      </c>
      <c r="AM195">
        <v>0.5</v>
      </c>
    </row>
    <row r="196" spans="1:39" x14ac:dyDescent="0.35">
      <c r="A196" s="6" t="e">
        <f>IF('Coach Card'!$T$5="",IF($B$1="Solo",IF(L195="","",L195),IF($B$1="MSolo",IF(O195="","",O195),IF($B$1="Duet",IF(R195="","",R195),IF($B$1="Mixed",IF(U195="","",U195),IF(X195="","",X195))))),IF($B$1="Solo",IF(L695="","",L695),IF($B$1="MSolo",IF(L695="","",L695),IF($B$1="Duet",IF(O695="","",O695),IF($B$1="Mixed",IF(R695="","",R695),IF(U695="","",U695))))))</f>
        <v>#N/A</v>
      </c>
      <c r="B196" s="3" t="e">
        <f>IF('Coach Card'!$T$5="",IF($B$1="Solo",IF(M195="","",M195),IF($B$1="MSolo",IF(P195="","",P195),IF($B$1="Duet",IF(S195="","",S195),IF($B$1="Mixed",IF(V195="","",V195),IF(Y195="","",Y195))))),IF($B$1="Solo",IF(M695="","",M695),IF($B$1="MSolo",IF(M695="","",M695),IF($B$1="Duet",IF(P695="","",P695),IF($B$1="Mixed",IF(S695="","",S695),IF(V695="","",V695))))))</f>
        <v>#N/A</v>
      </c>
      <c r="C196" s="3" t="e">
        <f>IF('Coach Card'!$T$5="",IF($B$1="Solo",IF(N195="","",N195),IF($B$1="MSolo",IF(Q195="","",Q195),IF($B$1="Duet",IF(T195="","",T195),IF($B$1="Mixed",IF(W195="","",W195),IF(Z195="","",Z195))))),IF($B$1="Solo",IF(N695="","",N695),IF($B$1="MSolo",IF(N695="","",N695),IF($B$1="Duet",IF(Q695="","",Q695),IF($B$1="Mixed",IF(T695="","",T695),IF(W695="","",W695))))))</f>
        <v>#N/A</v>
      </c>
      <c r="D196" s="3" t="e">
        <f>IF('Coach Card'!$T$5="",IF($D$1="Team",IF(AG195="","",AG195),""),IF($D$1="Team",IF(AD695="","",AD695),""))</f>
        <v>#N/A</v>
      </c>
      <c r="E196" s="3" t="e">
        <f>IF('Coach Card'!$T$5="",IF($D$1="Team",IF(AH195="","",AH195),""),IF($D$1="Team",IF(AE695="","",AE695),""))</f>
        <v>#N/A</v>
      </c>
      <c r="O196" s="1"/>
      <c r="R196" s="1" t="s">
        <v>1766</v>
      </c>
      <c r="S196" t="s">
        <v>2168</v>
      </c>
      <c r="T196" s="3">
        <v>2.875</v>
      </c>
      <c r="U196" s="1" t="s">
        <v>1766</v>
      </c>
      <c r="V196" t="s">
        <v>2168</v>
      </c>
      <c r="W196" s="3">
        <v>2.875</v>
      </c>
      <c r="X196" s="1" t="s">
        <v>1766</v>
      </c>
      <c r="Y196" t="s">
        <v>2156</v>
      </c>
      <c r="Z196" s="3">
        <v>0.97499999999999998</v>
      </c>
      <c r="AK196" t="s">
        <v>2152</v>
      </c>
      <c r="AL196" t="s">
        <v>1636</v>
      </c>
      <c r="AM196">
        <v>0.5</v>
      </c>
    </row>
    <row r="197" spans="1:39" x14ac:dyDescent="0.35">
      <c r="A197" s="6" t="e">
        <f>IF('Coach Card'!$T$5="",IF($B$1="Solo",IF(L196="","",L196),IF($B$1="MSolo",IF(O196="","",O196),IF($B$1="Duet",IF(R196="","",R196),IF($B$1="Mixed",IF(U196="","",U196),IF(X196="","",X196))))),IF($B$1="Solo",IF(L696="","",L696),IF($B$1="MSolo",IF(L696="","",L696),IF($B$1="Duet",IF(O696="","",O696),IF($B$1="Mixed",IF(R696="","",R696),IF(U696="","",U696))))))</f>
        <v>#N/A</v>
      </c>
      <c r="B197" s="3" t="e">
        <f>IF('Coach Card'!$T$5="",IF($B$1="Solo",IF(M196="","",M196),IF($B$1="MSolo",IF(P196="","",P196),IF($B$1="Duet",IF(S196="","",S196),IF($B$1="Mixed",IF(V196="","",V196),IF(Y196="","",Y196))))),IF($B$1="Solo",IF(M696="","",M696),IF($B$1="MSolo",IF(M696="","",M696),IF($B$1="Duet",IF(P696="","",P696),IF($B$1="Mixed",IF(S696="","",S696),IF(V696="","",V696))))))</f>
        <v>#N/A</v>
      </c>
      <c r="C197" s="3" t="e">
        <f>IF('Coach Card'!$T$5="",IF($B$1="Solo",IF(N196="","",N196),IF($B$1="MSolo",IF(Q196="","",Q196),IF($B$1="Duet",IF(T196="","",T196),IF($B$1="Mixed",IF(W196="","",W196),IF(Z196="","",Z196))))),IF($B$1="Solo",IF(N696="","",N696),IF($B$1="MSolo",IF(N696="","",N696),IF($B$1="Duet",IF(Q696="","",Q696),IF($B$1="Mixed",IF(T696="","",T696),IF(W696="","",W696))))))</f>
        <v>#N/A</v>
      </c>
      <c r="D197" s="3" t="e">
        <f>IF('Coach Card'!$T$5="",IF($D$1="Team",IF(AG196="","",AG196),""),IF($D$1="Team",IF(AD696="","",AD696),""))</f>
        <v>#N/A</v>
      </c>
      <c r="E197" s="3" t="e">
        <f>IF('Coach Card'!$T$5="",IF($D$1="Team",IF(AH196="","",AH196),""),IF($D$1="Team",IF(AE696="","",AE696),""))</f>
        <v>#N/A</v>
      </c>
      <c r="O197" s="1"/>
      <c r="R197" s="1" t="s">
        <v>1766</v>
      </c>
      <c r="S197" t="s">
        <v>2169</v>
      </c>
      <c r="T197" s="3">
        <v>2.9</v>
      </c>
      <c r="U197" s="1" t="s">
        <v>1766</v>
      </c>
      <c r="V197" t="s">
        <v>2169</v>
      </c>
      <c r="W197" s="3">
        <v>2.9</v>
      </c>
      <c r="X197" s="1" t="s">
        <v>1766</v>
      </c>
      <c r="Y197" t="s">
        <v>2157</v>
      </c>
      <c r="Z197" s="3">
        <v>1</v>
      </c>
      <c r="AK197" t="s">
        <v>2153</v>
      </c>
      <c r="AL197" t="s">
        <v>1637</v>
      </c>
      <c r="AM197">
        <v>0.5</v>
      </c>
    </row>
    <row r="198" spans="1:39" x14ac:dyDescent="0.35">
      <c r="A198" s="6" t="e">
        <f>IF('Coach Card'!$T$5="",IF($B$1="Solo",IF(L197="","",L197),IF($B$1="MSolo",IF(O197="","",O197),IF($B$1="Duet",IF(R197="","",R197),IF($B$1="Mixed",IF(U197="","",U197),IF(X197="","",X197))))),IF($B$1="Solo",IF(L697="","",L697),IF($B$1="MSolo",IF(L697="","",L697),IF($B$1="Duet",IF(O697="","",O697),IF($B$1="Mixed",IF(R697="","",R697),IF(U697="","",U697))))))</f>
        <v>#N/A</v>
      </c>
      <c r="B198" s="3" t="e">
        <f>IF('Coach Card'!$T$5="",IF($B$1="Solo",IF(M197="","",M197),IF($B$1="MSolo",IF(P197="","",P197),IF($B$1="Duet",IF(S197="","",S197),IF($B$1="Mixed",IF(V197="","",V197),IF(Y197="","",Y197))))),IF($B$1="Solo",IF(M697="","",M697),IF($B$1="MSolo",IF(M697="","",M697),IF($B$1="Duet",IF(P697="","",P697),IF($B$1="Mixed",IF(S697="","",S697),IF(V697="","",V697))))))</f>
        <v>#N/A</v>
      </c>
      <c r="C198" s="3" t="e">
        <f>IF('Coach Card'!$T$5="",IF($B$1="Solo",IF(N197="","",N197),IF($B$1="MSolo",IF(Q197="","",Q197),IF($B$1="Duet",IF(T197="","",T197),IF($B$1="Mixed",IF(W197="","",W197),IF(Z197="","",Z197))))),IF($B$1="Solo",IF(N697="","",N697),IF($B$1="MSolo",IF(N697="","",N697),IF($B$1="Duet",IF(Q697="","",Q697),IF($B$1="Mixed",IF(T697="","",T697),IF(W697="","",W697))))))</f>
        <v>#N/A</v>
      </c>
      <c r="D198" s="3" t="e">
        <f>IF('Coach Card'!$T$5="",IF($D$1="Team",IF(AG197="","",AG197),""),IF($D$1="Team",IF(AD697="","",AD697),""))</f>
        <v>#N/A</v>
      </c>
      <c r="E198" s="3" t="e">
        <f>IF('Coach Card'!$T$5="",IF($D$1="Team",IF(AH197="","",AH197),""),IF($D$1="Team",IF(AE697="","",AE697),""))</f>
        <v>#N/A</v>
      </c>
      <c r="O198" s="1"/>
      <c r="R198" s="1" t="s">
        <v>1766</v>
      </c>
      <c r="S198" t="s">
        <v>2170</v>
      </c>
      <c r="T198" s="3">
        <v>1.7</v>
      </c>
      <c r="U198" s="1" t="s">
        <v>1766</v>
      </c>
      <c r="V198" t="s">
        <v>2170</v>
      </c>
      <c r="W198" s="3">
        <v>1.7</v>
      </c>
      <c r="X198" s="1" t="s">
        <v>1766</v>
      </c>
      <c r="Y198" t="s">
        <v>2158</v>
      </c>
      <c r="Z198" s="3">
        <v>0.7</v>
      </c>
      <c r="AK198" t="s">
        <v>2154</v>
      </c>
      <c r="AL198" t="s">
        <v>1638</v>
      </c>
      <c r="AM198">
        <v>0.5</v>
      </c>
    </row>
    <row r="199" spans="1:39" x14ac:dyDescent="0.35">
      <c r="A199" s="6" t="e">
        <f>IF('Coach Card'!$T$5="",IF($B$1="Solo",IF(L198="","",L198),IF($B$1="MSolo",IF(O198="","",O198),IF($B$1="Duet",IF(R198="","",R198),IF($B$1="Mixed",IF(U198="","",U198),IF(X198="","",X198))))),IF($B$1="Solo",IF(L698="","",L698),IF($B$1="MSolo",IF(L698="","",L698),IF($B$1="Duet",IF(O698="","",O698),IF($B$1="Mixed",IF(R698="","",R698),IF(U698="","",U698))))))</f>
        <v>#N/A</v>
      </c>
      <c r="B199" s="3" t="e">
        <f>IF('Coach Card'!$T$5="",IF($B$1="Solo",IF(M198="","",M198),IF($B$1="MSolo",IF(P198="","",P198),IF($B$1="Duet",IF(S198="","",S198),IF($B$1="Mixed",IF(V198="","",V198),IF(Y198="","",Y198))))),IF($B$1="Solo",IF(M698="","",M698),IF($B$1="MSolo",IF(M698="","",M698),IF($B$1="Duet",IF(P698="","",P698),IF($B$1="Mixed",IF(S698="","",S698),IF(V698="","",V698))))))</f>
        <v>#N/A</v>
      </c>
      <c r="C199" s="3" t="e">
        <f>IF('Coach Card'!$T$5="",IF($B$1="Solo",IF(N198="","",N198),IF($B$1="MSolo",IF(Q198="","",Q198),IF($B$1="Duet",IF(T198="","",T198),IF($B$1="Mixed",IF(W198="","",W198),IF(Z198="","",Z198))))),IF($B$1="Solo",IF(N698="","",N698),IF($B$1="MSolo",IF(N698="","",N698),IF($B$1="Duet",IF(Q698="","",Q698),IF($B$1="Mixed",IF(T698="","",T698),IF(W698="","",W698))))))</f>
        <v>#N/A</v>
      </c>
      <c r="D199" s="3" t="e">
        <f>IF('Coach Card'!$T$5="",IF($D$1="Team",IF(AG198="","",AG198),""),IF($D$1="Team",IF(AD698="","",AD698),""))</f>
        <v>#N/A</v>
      </c>
      <c r="E199" s="3" t="e">
        <f>IF('Coach Card'!$T$5="",IF($D$1="Team",IF(AH198="","",AH198),""),IF($D$1="Team",IF(AE698="","",AE698),""))</f>
        <v>#N/A</v>
      </c>
      <c r="O199" s="1"/>
      <c r="R199" s="1" t="s">
        <v>1766</v>
      </c>
      <c r="S199" t="s">
        <v>2171</v>
      </c>
      <c r="T199" s="3">
        <v>1.95</v>
      </c>
      <c r="U199" s="1" t="s">
        <v>1766</v>
      </c>
      <c r="V199" t="s">
        <v>2171</v>
      </c>
      <c r="W199" s="3">
        <v>1.95</v>
      </c>
      <c r="X199" s="1" t="s">
        <v>1766</v>
      </c>
      <c r="Y199" t="s">
        <v>2159</v>
      </c>
      <c r="Z199" s="3">
        <v>1.4750000000000001</v>
      </c>
      <c r="AK199" t="s">
        <v>2155</v>
      </c>
      <c r="AL199" t="s">
        <v>1639</v>
      </c>
      <c r="AM199">
        <v>0.5</v>
      </c>
    </row>
    <row r="200" spans="1:39" x14ac:dyDescent="0.35">
      <c r="A200" s="6" t="e">
        <f>IF('Coach Card'!$T$5="",IF($B$1="Solo",IF(L199="","",L199),IF($B$1="MSolo",IF(O199="","",O199),IF($B$1="Duet",IF(R199="","",R199),IF($B$1="Mixed",IF(U199="","",U199),IF(X199="","",X199))))),IF($B$1="Solo",IF(L699="","",L699),IF($B$1="MSolo",IF(L699="","",L699),IF($B$1="Duet",IF(O699="","",O699),IF($B$1="Mixed",IF(R699="","",R699),IF(U699="","",U699))))))</f>
        <v>#N/A</v>
      </c>
      <c r="B200" s="3" t="e">
        <f>IF('Coach Card'!$T$5="",IF($B$1="Solo",IF(M199="","",M199),IF($B$1="MSolo",IF(P199="","",P199),IF($B$1="Duet",IF(S199="","",S199),IF($B$1="Mixed",IF(V199="","",V199),IF(Y199="","",Y199))))),IF($B$1="Solo",IF(M699="","",M699),IF($B$1="MSolo",IF(M699="","",M699),IF($B$1="Duet",IF(P699="","",P699),IF($B$1="Mixed",IF(S699="","",S699),IF(V699="","",V699))))))</f>
        <v>#N/A</v>
      </c>
      <c r="C200" s="3" t="e">
        <f>IF('Coach Card'!$T$5="",IF($B$1="Solo",IF(N199="","",N199),IF($B$1="MSolo",IF(Q199="","",Q199),IF($B$1="Duet",IF(T199="","",T199),IF($B$1="Mixed",IF(W199="","",W199),IF(Z199="","",Z199))))),IF($B$1="Solo",IF(N699="","",N699),IF($B$1="MSolo",IF(N699="","",N699),IF($B$1="Duet",IF(Q699="","",Q699),IF($B$1="Mixed",IF(T699="","",T699),IF(W699="","",W699))))))</f>
        <v>#N/A</v>
      </c>
      <c r="D200" s="3" t="e">
        <f>IF('Coach Card'!$T$5="",IF($D$1="Team",IF(AG199="","",AG199),""),IF($D$1="Team",IF(AD699="","",AD699),""))</f>
        <v>#N/A</v>
      </c>
      <c r="E200" s="3" t="e">
        <f>IF('Coach Card'!$T$5="",IF($D$1="Team",IF(AH199="","",AH199),""),IF($D$1="Team",IF(AE699="","",AE699),""))</f>
        <v>#N/A</v>
      </c>
      <c r="O200" s="1"/>
      <c r="R200" s="1" t="s">
        <v>1766</v>
      </c>
      <c r="S200" t="s">
        <v>2172</v>
      </c>
      <c r="T200" s="3">
        <v>2.2000000000000002</v>
      </c>
      <c r="U200" s="1" t="s">
        <v>1766</v>
      </c>
      <c r="V200" t="s">
        <v>2172</v>
      </c>
      <c r="W200" s="3">
        <v>2.2000000000000002</v>
      </c>
      <c r="X200" s="1" t="s">
        <v>1766</v>
      </c>
      <c r="Y200" t="s">
        <v>2160</v>
      </c>
      <c r="Z200" s="3">
        <v>1.5</v>
      </c>
      <c r="AK200" t="s">
        <v>2156</v>
      </c>
      <c r="AL200" t="s">
        <v>1640</v>
      </c>
      <c r="AM200">
        <v>0.5</v>
      </c>
    </row>
    <row r="201" spans="1:39" x14ac:dyDescent="0.35">
      <c r="A201" s="6" t="e">
        <f>IF('Coach Card'!$T$5="",IF($B$1="Solo",IF(L200="","",L200),IF($B$1="MSolo",IF(O200="","",O200),IF($B$1="Duet",IF(R200="","",R200),IF($B$1="Mixed",IF(U200="","",U200),IF(X200="","",X200))))),IF($B$1="Solo",IF(L700="","",L700),IF($B$1="MSolo",IF(L700="","",L700),IF($B$1="Duet",IF(O700="","",O700),IF($B$1="Mixed",IF(R700="","",R700),IF(U700="","",U700))))))</f>
        <v>#N/A</v>
      </c>
      <c r="B201" s="3" t="e">
        <f>IF('Coach Card'!$T$5="",IF($B$1="Solo",IF(M200="","",M200),IF($B$1="MSolo",IF(P200="","",P200),IF($B$1="Duet",IF(S200="","",S200),IF($B$1="Mixed",IF(V200="","",V200),IF(Y200="","",Y200))))),IF($B$1="Solo",IF(M700="","",M700),IF($B$1="MSolo",IF(M700="","",M700),IF($B$1="Duet",IF(P700="","",P700),IF($B$1="Mixed",IF(S700="","",S700),IF(V700="","",V700))))))</f>
        <v>#N/A</v>
      </c>
      <c r="C201" s="3" t="e">
        <f>IF('Coach Card'!$T$5="",IF($B$1="Solo",IF(N200="","",N200),IF($B$1="MSolo",IF(Q200="","",Q200),IF($B$1="Duet",IF(T200="","",T200),IF($B$1="Mixed",IF(W200="","",W200),IF(Z200="","",Z200))))),IF($B$1="Solo",IF(N700="","",N700),IF($B$1="MSolo",IF(N700="","",N700),IF($B$1="Duet",IF(Q700="","",Q700),IF($B$1="Mixed",IF(T700="","",T700),IF(W700="","",W700))))))</f>
        <v>#N/A</v>
      </c>
      <c r="D201" s="3" t="e">
        <f>IF('Coach Card'!$T$5="",IF($D$1="Team",IF(AG200="","",AG200),""),IF($D$1="Team",IF(AD700="","",AD700),""))</f>
        <v>#N/A</v>
      </c>
      <c r="E201" s="3" t="e">
        <f>IF('Coach Card'!$T$5="",IF($D$1="Team",IF(AH200="","",AH200),""),IF($D$1="Team",IF(AE700="","",AE700),""))</f>
        <v>#N/A</v>
      </c>
      <c r="O201" s="1"/>
      <c r="R201" s="1" t="s">
        <v>1766</v>
      </c>
      <c r="S201" t="s">
        <v>2173</v>
      </c>
      <c r="T201" s="3">
        <v>2.4500000000000002</v>
      </c>
      <c r="U201" s="1" t="s">
        <v>1766</v>
      </c>
      <c r="V201" t="s">
        <v>2173</v>
      </c>
      <c r="W201" s="3">
        <v>2.4500000000000002</v>
      </c>
      <c r="X201" s="1" t="s">
        <v>1766</v>
      </c>
      <c r="Y201" t="s">
        <v>2161</v>
      </c>
      <c r="Z201" s="3">
        <v>0.95</v>
      </c>
      <c r="AK201" t="s">
        <v>2157</v>
      </c>
      <c r="AL201" t="s">
        <v>1641</v>
      </c>
      <c r="AM201">
        <v>0.5</v>
      </c>
    </row>
    <row r="202" spans="1:39" x14ac:dyDescent="0.35">
      <c r="A202" s="6" t="e">
        <f>IF('Coach Card'!$T$5="",IF($B$1="Solo",IF(L201="","",L201),IF($B$1="MSolo",IF(O201="","",O201),IF($B$1="Duet",IF(R201="","",R201),IF($B$1="Mixed",IF(U201="","",U201),IF(X201="","",X201))))),IF($B$1="Solo",IF(L701="","",L701),IF($B$1="MSolo",IF(L701="","",L701),IF($B$1="Duet",IF(O701="","",O701),IF($B$1="Mixed",IF(R701="","",R701),IF(U701="","",U701))))))</f>
        <v>#N/A</v>
      </c>
      <c r="B202" s="3" t="e">
        <f>IF('Coach Card'!$T$5="",IF($B$1="Solo",IF(M201="","",M201),IF($B$1="MSolo",IF(P201="","",P201),IF($B$1="Duet",IF(S201="","",S201),IF($B$1="Mixed",IF(V201="","",V201),IF(Y201="","",Y201))))),IF($B$1="Solo",IF(M701="","",M701),IF($B$1="MSolo",IF(M701="","",M701),IF($B$1="Duet",IF(P701="","",P701),IF($B$1="Mixed",IF(S701="","",S701),IF(V701="","",V701))))))</f>
        <v>#N/A</v>
      </c>
      <c r="C202" s="3" t="e">
        <f>IF('Coach Card'!$T$5="",IF($B$1="Solo",IF(N201="","",N201),IF($B$1="MSolo",IF(Q201="","",Q201),IF($B$1="Duet",IF(T201="","",T201),IF($B$1="Mixed",IF(W201="","",W201),IF(Z201="","",Z201))))),IF($B$1="Solo",IF(N701="","",N701),IF($B$1="MSolo",IF(N701="","",N701),IF($B$1="Duet",IF(Q701="","",Q701),IF($B$1="Mixed",IF(T701="","",T701),IF(W701="","",W701))))))</f>
        <v>#N/A</v>
      </c>
      <c r="D202" s="3" t="e">
        <f>IF('Coach Card'!$T$5="",IF($D$1="Team",IF(AG201="","",AG201),""),IF($D$1="Team",IF(AD701="","",AD701),""))</f>
        <v>#N/A</v>
      </c>
      <c r="E202" s="3" t="e">
        <f>IF('Coach Card'!$T$5="",IF($D$1="Team",IF(AH201="","",AH201),""),IF($D$1="Team",IF(AE701="","",AE701),""))</f>
        <v>#N/A</v>
      </c>
      <c r="O202" s="1"/>
      <c r="R202" s="1" t="s">
        <v>1767</v>
      </c>
      <c r="S202" t="s">
        <v>2174</v>
      </c>
      <c r="T202" s="3">
        <v>0.05</v>
      </c>
      <c r="U202" s="1" t="s">
        <v>1767</v>
      </c>
      <c r="V202" t="s">
        <v>2174</v>
      </c>
      <c r="W202" s="3">
        <v>0.05</v>
      </c>
      <c r="X202" s="1" t="s">
        <v>1766</v>
      </c>
      <c r="Y202" t="s">
        <v>2162</v>
      </c>
      <c r="Z202" s="3">
        <v>1.9750000000000001</v>
      </c>
      <c r="AK202" t="s">
        <v>2158</v>
      </c>
      <c r="AL202" t="s">
        <v>1642</v>
      </c>
      <c r="AM202">
        <v>0.5</v>
      </c>
    </row>
    <row r="203" spans="1:39" x14ac:dyDescent="0.35">
      <c r="A203" s="6" t="e">
        <f>IF('Coach Card'!$T$5="",IF($B$1="Solo",IF(L202="","",L202),IF($B$1="MSolo",IF(O202="","",O202),IF($B$1="Duet",IF(R202="","",R202),IF($B$1="Mixed",IF(U202="","",U202),IF(X202="","",X202))))),IF($B$1="Solo",IF(L702="","",L702),IF($B$1="MSolo",IF(L702="","",L702),IF($B$1="Duet",IF(O702="","",O702),IF($B$1="Mixed",IF(R702="","",R702),IF(U702="","",U702))))))</f>
        <v>#N/A</v>
      </c>
      <c r="B203" s="3" t="e">
        <f>IF('Coach Card'!$T$5="",IF($B$1="Solo",IF(M202="","",M202),IF($B$1="MSolo",IF(P202="","",P202),IF($B$1="Duet",IF(S202="","",S202),IF($B$1="Mixed",IF(V202="","",V202),IF(Y202="","",Y202))))),IF($B$1="Solo",IF(M702="","",M702),IF($B$1="MSolo",IF(M702="","",M702),IF($B$1="Duet",IF(P702="","",P702),IF($B$1="Mixed",IF(S702="","",S702),IF(V702="","",V702))))))</f>
        <v>#N/A</v>
      </c>
      <c r="C203" s="3" t="e">
        <f>IF('Coach Card'!$T$5="",IF($B$1="Solo",IF(N202="","",N202),IF($B$1="MSolo",IF(Q202="","",Q202),IF($B$1="Duet",IF(T202="","",T202),IF($B$1="Mixed",IF(W202="","",W202),IF(Z202="","",Z202))))),IF($B$1="Solo",IF(N702="","",N702),IF($B$1="MSolo",IF(N702="","",N702),IF($B$1="Duet",IF(Q702="","",Q702),IF($B$1="Mixed",IF(T702="","",T702),IF(W702="","",W702))))))</f>
        <v>#N/A</v>
      </c>
      <c r="D203" s="3" t="e">
        <f>IF('Coach Card'!$T$5="",IF($D$1="Team",IF(AG202="","",AG202),""),IF($D$1="Team",IF(AD702="","",AD702),""))</f>
        <v>#N/A</v>
      </c>
      <c r="E203" s="3" t="e">
        <f>IF('Coach Card'!$T$5="",IF($D$1="Team",IF(AH202="","",AH202),""),IF($D$1="Team",IF(AE702="","",AE702),""))</f>
        <v>#N/A</v>
      </c>
      <c r="O203" s="1"/>
      <c r="R203" s="1" t="s">
        <v>1767</v>
      </c>
      <c r="S203" t="s">
        <v>2175</v>
      </c>
      <c r="T203" s="3">
        <v>7.4999999999999997E-2</v>
      </c>
      <c r="U203" s="1" t="s">
        <v>1767</v>
      </c>
      <c r="V203" t="s">
        <v>2175</v>
      </c>
      <c r="W203" s="3">
        <v>7.4999999999999997E-2</v>
      </c>
      <c r="X203" s="1" t="s">
        <v>1766</v>
      </c>
      <c r="Y203" t="s">
        <v>2163</v>
      </c>
      <c r="Z203" s="3">
        <v>2</v>
      </c>
      <c r="AK203" t="s">
        <v>2159</v>
      </c>
      <c r="AL203" t="s">
        <v>1643</v>
      </c>
      <c r="AM203">
        <v>0.5</v>
      </c>
    </row>
    <row r="204" spans="1:39" x14ac:dyDescent="0.35">
      <c r="A204" s="6" t="e">
        <f>IF('Coach Card'!$T$5="",IF($B$1="Solo",IF(L203="","",L203),IF($B$1="MSolo",IF(O203="","",O203),IF($B$1="Duet",IF(R203="","",R203),IF($B$1="Mixed",IF(U203="","",U203),IF(X203="","",X203))))),IF($B$1="Solo",IF(L703="","",L703),IF($B$1="MSolo",IF(L703="","",L703),IF($B$1="Duet",IF(O703="","",O703),IF($B$1="Mixed",IF(R703="","",R703),IF(U703="","",U703))))))</f>
        <v>#N/A</v>
      </c>
      <c r="B204" s="3" t="e">
        <f>IF('Coach Card'!$T$5="",IF($B$1="Solo",IF(M203="","",M203),IF($B$1="MSolo",IF(P203="","",P203),IF($B$1="Duet",IF(S203="","",S203),IF($B$1="Mixed",IF(V203="","",V203),IF(Y203="","",Y203))))),IF($B$1="Solo",IF(M703="","",M703),IF($B$1="MSolo",IF(M703="","",M703),IF($B$1="Duet",IF(P703="","",P703),IF($B$1="Mixed",IF(S703="","",S703),IF(V703="","",V703))))))</f>
        <v>#N/A</v>
      </c>
      <c r="C204" s="3" t="e">
        <f>IF('Coach Card'!$T$5="",IF($B$1="Solo",IF(N203="","",N203),IF($B$1="MSolo",IF(Q203="","",Q203),IF($B$1="Duet",IF(T203="","",T203),IF($B$1="Mixed",IF(W203="","",W203),IF(Z203="","",Z203))))),IF($B$1="Solo",IF(N703="","",N703),IF($B$1="MSolo",IF(N703="","",N703),IF($B$1="Duet",IF(Q703="","",Q703),IF($B$1="Mixed",IF(T703="","",T703),IF(W703="","",W703))))))</f>
        <v>#N/A</v>
      </c>
      <c r="D204" s="3" t="e">
        <f>IF('Coach Card'!$T$5="",IF($D$1="Team",IF(AG203="","",AG203),""),IF($D$1="Team",IF(AD703="","",AD703),""))</f>
        <v>#N/A</v>
      </c>
      <c r="E204" s="3" t="e">
        <f>IF('Coach Card'!$T$5="",IF($D$1="Team",IF(AH203="","",AH203),""),IF($D$1="Team",IF(AE703="","",AE703),""))</f>
        <v>#N/A</v>
      </c>
      <c r="O204" s="1"/>
      <c r="R204" s="1" t="s">
        <v>1767</v>
      </c>
      <c r="S204" t="s">
        <v>2176</v>
      </c>
      <c r="T204" s="3">
        <v>0.1</v>
      </c>
      <c r="U204" s="1" t="s">
        <v>1767</v>
      </c>
      <c r="V204" t="s">
        <v>2176</v>
      </c>
      <c r="W204" s="3">
        <v>0.1</v>
      </c>
      <c r="X204" s="1" t="s">
        <v>1766</v>
      </c>
      <c r="Y204" t="s">
        <v>2164</v>
      </c>
      <c r="Z204" s="3">
        <v>1.2</v>
      </c>
      <c r="AK204" t="s">
        <v>2160</v>
      </c>
      <c r="AL204" t="s">
        <v>1644</v>
      </c>
      <c r="AM204">
        <v>0.5</v>
      </c>
    </row>
    <row r="205" spans="1:39" x14ac:dyDescent="0.35">
      <c r="A205" s="6" t="e">
        <f>IF('Coach Card'!$T$5="",IF($B$1="Solo",IF(L204="","",L204),IF($B$1="MSolo",IF(O204="","",O204),IF($B$1="Duet",IF(R204="","",R204),IF($B$1="Mixed",IF(U204="","",U204),IF(X204="","",X204))))),IF($B$1="Solo",IF(L704="","",L704),IF($B$1="MSolo",IF(L704="","",L704),IF($B$1="Duet",IF(O704="","",O704),IF($B$1="Mixed",IF(R704="","",R704),IF(U704="","",U704))))))</f>
        <v>#N/A</v>
      </c>
      <c r="B205" s="3" t="e">
        <f>IF('Coach Card'!$T$5="",IF($B$1="Solo",IF(M204="","",M204),IF($B$1="MSolo",IF(P204="","",P204),IF($B$1="Duet",IF(S204="","",S204),IF($B$1="Mixed",IF(V204="","",V204),IF(Y204="","",Y204))))),IF($B$1="Solo",IF(M704="","",M704),IF($B$1="MSolo",IF(M704="","",M704),IF($B$1="Duet",IF(P704="","",P704),IF($B$1="Mixed",IF(S704="","",S704),IF(V704="","",V704))))))</f>
        <v>#N/A</v>
      </c>
      <c r="C205" s="3" t="e">
        <f>IF('Coach Card'!$T$5="",IF($B$1="Solo",IF(N204="","",N204),IF($B$1="MSolo",IF(Q204="","",Q204),IF($B$1="Duet",IF(T204="","",T204),IF($B$1="Mixed",IF(W204="","",W204),IF(Z204="","",Z204))))),IF($B$1="Solo",IF(N704="","",N704),IF($B$1="MSolo",IF(N704="","",N704),IF($B$1="Duet",IF(Q704="","",Q704),IF($B$1="Mixed",IF(T704="","",T704),IF(W704="","",W704))))))</f>
        <v>#N/A</v>
      </c>
      <c r="D205" s="3" t="e">
        <f>IF('Coach Card'!$T$5="",IF($D$1="Team",IF(AG204="","",AG204),""),IF($D$1="Team",IF(AD704="","",AD704),""))</f>
        <v>#N/A</v>
      </c>
      <c r="E205" s="3" t="e">
        <f>IF('Coach Card'!$T$5="",IF($D$1="Team",IF(AH204="","",AH204),""),IF($D$1="Team",IF(AE704="","",AE704),""))</f>
        <v>#N/A</v>
      </c>
      <c r="O205" s="1"/>
      <c r="R205" s="1" t="s">
        <v>1767</v>
      </c>
      <c r="S205" t="s">
        <v>2177</v>
      </c>
      <c r="T205" s="3">
        <v>0.125</v>
      </c>
      <c r="U205" s="1" t="s">
        <v>1767</v>
      </c>
      <c r="V205" t="s">
        <v>2177</v>
      </c>
      <c r="W205" s="3">
        <v>0.125</v>
      </c>
      <c r="X205" s="1" t="s">
        <v>1766</v>
      </c>
      <c r="Y205" t="s">
        <v>2165</v>
      </c>
      <c r="Z205" s="3">
        <v>2.4750000000000001</v>
      </c>
      <c r="AK205" t="s">
        <v>2161</v>
      </c>
      <c r="AL205" t="s">
        <v>1645</v>
      </c>
      <c r="AM205">
        <v>0.5</v>
      </c>
    </row>
    <row r="206" spans="1:39" x14ac:dyDescent="0.35">
      <c r="A206" s="6" t="e">
        <f>IF('Coach Card'!$T$5="",IF($B$1="Solo",IF(L205="","",L205),IF($B$1="MSolo",IF(O205="","",O205),IF($B$1="Duet",IF(R205="","",R205),IF($B$1="Mixed",IF(U205="","",U205),IF(X205="","",X205))))),IF($B$1="Solo",IF(L705="","",L705),IF($B$1="MSolo",IF(L705="","",L705),IF($B$1="Duet",IF(O705="","",O705),IF($B$1="Mixed",IF(R705="","",R705),IF(U705="","",U705))))))</f>
        <v>#N/A</v>
      </c>
      <c r="B206" s="3" t="e">
        <f>IF('Coach Card'!$T$5="",IF($B$1="Solo",IF(M205="","",M205),IF($B$1="MSolo",IF(P205="","",P205),IF($B$1="Duet",IF(S205="","",S205),IF($B$1="Mixed",IF(V205="","",V205),IF(Y205="","",Y205))))),IF($B$1="Solo",IF(M705="","",M705),IF($B$1="MSolo",IF(M705="","",M705),IF($B$1="Duet",IF(P705="","",P705),IF($B$1="Mixed",IF(S705="","",S705),IF(V705="","",V705))))))</f>
        <v>#N/A</v>
      </c>
      <c r="C206" s="3" t="e">
        <f>IF('Coach Card'!$T$5="",IF($B$1="Solo",IF(N205="","",N205),IF($B$1="MSolo",IF(Q205="","",Q205),IF($B$1="Duet",IF(T205="","",T205),IF($B$1="Mixed",IF(W205="","",W205),IF(Z205="","",Z205))))),IF($B$1="Solo",IF(N705="","",N705),IF($B$1="MSolo",IF(N705="","",N705),IF($B$1="Duet",IF(Q705="","",Q705),IF($B$1="Mixed",IF(T705="","",T705),IF(W705="","",W705))))))</f>
        <v>#N/A</v>
      </c>
      <c r="D206" s="3" t="e">
        <f>IF('Coach Card'!$T$5="",IF($D$1="Team",IF(AG205="","",AG205),""),IF($D$1="Team",IF(AD705="","",AD705),""))</f>
        <v>#N/A</v>
      </c>
      <c r="E206" s="3" t="e">
        <f>IF('Coach Card'!$T$5="",IF($D$1="Team",IF(AH205="","",AH205),""),IF($D$1="Team",IF(AE705="","",AE705),""))</f>
        <v>#N/A</v>
      </c>
      <c r="O206" s="1"/>
      <c r="R206" s="1" t="s">
        <v>1767</v>
      </c>
      <c r="S206" t="s">
        <v>2178</v>
      </c>
      <c r="T206" s="3">
        <v>0.125</v>
      </c>
      <c r="U206" s="1" t="s">
        <v>1767</v>
      </c>
      <c r="V206" t="s">
        <v>2178</v>
      </c>
      <c r="W206" s="3">
        <v>0.125</v>
      </c>
      <c r="X206" s="1" t="s">
        <v>1766</v>
      </c>
      <c r="Y206" t="s">
        <v>2166</v>
      </c>
      <c r="Z206" s="3">
        <v>2.5</v>
      </c>
      <c r="AK206" t="s">
        <v>2162</v>
      </c>
      <c r="AL206" t="s">
        <v>1646</v>
      </c>
      <c r="AM206">
        <v>0.5</v>
      </c>
    </row>
    <row r="207" spans="1:39" x14ac:dyDescent="0.35">
      <c r="A207" s="6" t="e">
        <f>IF('Coach Card'!$T$5="",IF($B$1="Solo",IF(L206="","",L206),IF($B$1="MSolo",IF(O206="","",O206),IF($B$1="Duet",IF(R206="","",R206),IF($B$1="Mixed",IF(U206="","",U206),IF(X206="","",X206))))),IF($B$1="Solo",IF(L706="","",L706),IF($B$1="MSolo",IF(L706="","",L706),IF($B$1="Duet",IF(O706="","",O706),IF($B$1="Mixed",IF(R706="","",R706),IF(U706="","",U706))))))</f>
        <v>#N/A</v>
      </c>
      <c r="B207" s="3" t="e">
        <f>IF('Coach Card'!$T$5="",IF($B$1="Solo",IF(M206="","",M206),IF($B$1="MSolo",IF(P206="","",P206),IF($B$1="Duet",IF(S206="","",S206),IF($B$1="Mixed",IF(V206="","",V206),IF(Y206="","",Y206))))),IF($B$1="Solo",IF(M706="","",M706),IF($B$1="MSolo",IF(M706="","",M706),IF($B$1="Duet",IF(P706="","",P706),IF($B$1="Mixed",IF(S706="","",S706),IF(V706="","",V706))))))</f>
        <v>#N/A</v>
      </c>
      <c r="C207" s="3" t="e">
        <f>IF('Coach Card'!$T$5="",IF($B$1="Solo",IF(N206="","",N206),IF($B$1="MSolo",IF(Q206="","",Q206),IF($B$1="Duet",IF(T206="","",T206),IF($B$1="Mixed",IF(W206="","",W206),IF(Z206="","",Z206))))),IF($B$1="Solo",IF(N706="","",N706),IF($B$1="MSolo",IF(N706="","",N706),IF($B$1="Duet",IF(Q706="","",Q706),IF($B$1="Mixed",IF(T706="","",T706),IF(W706="","",W706))))))</f>
        <v>#N/A</v>
      </c>
      <c r="D207" s="3" t="e">
        <f>IF('Coach Card'!$T$5="",IF($D$1="Team",IF(AG206="","",AG206),""),IF($D$1="Team",IF(AD706="","",AD706),""))</f>
        <v>#N/A</v>
      </c>
      <c r="E207" s="3" t="e">
        <f>IF('Coach Card'!$T$5="",IF($D$1="Team",IF(AH206="","",AH206),""),IF($D$1="Team",IF(AE706="","",AE706),""))</f>
        <v>#N/A</v>
      </c>
      <c r="O207" s="1"/>
      <c r="R207" s="1" t="s">
        <v>1767</v>
      </c>
      <c r="S207" t="s">
        <v>2179</v>
      </c>
      <c r="T207" s="3">
        <v>0.1</v>
      </c>
      <c r="U207" s="1" t="s">
        <v>1767</v>
      </c>
      <c r="V207" t="s">
        <v>2179</v>
      </c>
      <c r="W207" s="3">
        <v>0.1</v>
      </c>
      <c r="X207" s="1" t="s">
        <v>1766</v>
      </c>
      <c r="Y207" t="s">
        <v>2167</v>
      </c>
      <c r="Z207" s="3">
        <v>1.45</v>
      </c>
      <c r="AK207" t="s">
        <v>2163</v>
      </c>
      <c r="AL207" t="s">
        <v>1647</v>
      </c>
      <c r="AM207">
        <v>0.5</v>
      </c>
    </row>
    <row r="208" spans="1:39" x14ac:dyDescent="0.35">
      <c r="A208" s="6" t="e">
        <f>IF('Coach Card'!$T$5="",IF($B$1="Solo",IF(L207="","",L207),IF($B$1="MSolo",IF(O207="","",O207),IF($B$1="Duet",IF(R207="","",R207),IF($B$1="Mixed",IF(U207="","",U207),IF(X207="","",X207))))),IF($B$1="Solo",IF(L707="","",L707),IF($B$1="MSolo",IF(L707="","",L707),IF($B$1="Duet",IF(O707="","",O707),IF($B$1="Mixed",IF(R707="","",R707),IF(U707="","",U707))))))</f>
        <v>#N/A</v>
      </c>
      <c r="B208" s="3" t="e">
        <f>IF('Coach Card'!$T$5="",IF($B$1="Solo",IF(M207="","",M207),IF($B$1="MSolo",IF(P207="","",P207),IF($B$1="Duet",IF(S207="","",S207),IF($B$1="Mixed",IF(V207="","",V207),IF(Y207="","",Y207))))),IF($B$1="Solo",IF(M707="","",M707),IF($B$1="MSolo",IF(M707="","",M707),IF($B$1="Duet",IF(P707="","",P707),IF($B$1="Mixed",IF(S707="","",S707),IF(V707="","",V707))))))</f>
        <v>#N/A</v>
      </c>
      <c r="C208" s="3" t="e">
        <f>IF('Coach Card'!$T$5="",IF($B$1="Solo",IF(N207="","",N207),IF($B$1="MSolo",IF(Q207="","",Q207),IF($B$1="Duet",IF(T207="","",T207),IF($B$1="Mixed",IF(W207="","",W207),IF(Z207="","",Z207))))),IF($B$1="Solo",IF(N707="","",N707),IF($B$1="MSolo",IF(N707="","",N707),IF($B$1="Duet",IF(Q707="","",Q707),IF($B$1="Mixed",IF(T707="","",T707),IF(W707="","",W707))))))</f>
        <v>#N/A</v>
      </c>
      <c r="D208" s="3" t="e">
        <f>IF('Coach Card'!$T$5="",IF($D$1="Team",IF(AG207="","",AG207),""),IF($D$1="Team",IF(AD707="","",AD707),""))</f>
        <v>#N/A</v>
      </c>
      <c r="E208" s="3" t="e">
        <f>IF('Coach Card'!$T$5="",IF($D$1="Team",IF(AH207="","",AH207),""),IF($D$1="Team",IF(AE707="","",AE707),""))</f>
        <v>#N/A</v>
      </c>
      <c r="O208" s="1"/>
      <c r="R208" s="1" t="s">
        <v>1767</v>
      </c>
      <c r="S208" t="s">
        <v>2180</v>
      </c>
      <c r="T208" s="3">
        <v>0.17499999999999999</v>
      </c>
      <c r="U208" s="1" t="s">
        <v>1767</v>
      </c>
      <c r="V208" t="s">
        <v>2180</v>
      </c>
      <c r="W208" s="3">
        <v>0.17499999999999999</v>
      </c>
      <c r="X208" s="1" t="s">
        <v>1766</v>
      </c>
      <c r="Y208" t="s">
        <v>2168</v>
      </c>
      <c r="Z208" s="3">
        <v>2.875</v>
      </c>
      <c r="AK208" t="s">
        <v>2164</v>
      </c>
      <c r="AL208" t="s">
        <v>1648</v>
      </c>
      <c r="AM208">
        <v>0.5</v>
      </c>
    </row>
    <row r="209" spans="1:39" x14ac:dyDescent="0.35">
      <c r="A209" s="6" t="e">
        <f>IF('Coach Card'!$T$5="",IF($B$1="Solo",IF(L208="","",L208),IF($B$1="MSolo",IF(O208="","",O208),IF($B$1="Duet",IF(R208="","",R208),IF($B$1="Mixed",IF(U208="","",U208),IF(X208="","",X208))))),IF($B$1="Solo",IF(L708="","",L708),IF($B$1="MSolo",IF(L708="","",L708),IF($B$1="Duet",IF(O708="","",O708),IF($B$1="Mixed",IF(R708="","",R708),IF(U708="","",U708))))))</f>
        <v>#N/A</v>
      </c>
      <c r="B209" s="3" t="e">
        <f>IF('Coach Card'!$T$5="",IF($B$1="Solo",IF(M208="","",M208),IF($B$1="MSolo",IF(P208="","",P208),IF($B$1="Duet",IF(S208="","",S208),IF($B$1="Mixed",IF(V208="","",V208),IF(Y208="","",Y208))))),IF($B$1="Solo",IF(M708="","",M708),IF($B$1="MSolo",IF(M708="","",M708),IF($B$1="Duet",IF(P708="","",P708),IF($B$1="Mixed",IF(S708="","",S708),IF(V708="","",V708))))))</f>
        <v>#N/A</v>
      </c>
      <c r="C209" s="3" t="e">
        <f>IF('Coach Card'!$T$5="",IF($B$1="Solo",IF(N208="","",N208),IF($B$1="MSolo",IF(Q208="","",Q208),IF($B$1="Duet",IF(T208="","",T208),IF($B$1="Mixed",IF(W208="","",W208),IF(Z208="","",Z208))))),IF($B$1="Solo",IF(N708="","",N708),IF($B$1="MSolo",IF(N708="","",N708),IF($B$1="Duet",IF(Q708="","",Q708),IF($B$1="Mixed",IF(T708="","",T708),IF(W708="","",W708))))))</f>
        <v>#N/A</v>
      </c>
      <c r="D209" s="3" t="e">
        <f>IF('Coach Card'!$T$5="",IF($D$1="Team",IF(AG208="","",AG208),""),IF($D$1="Team",IF(AD708="","",AD708),""))</f>
        <v>#N/A</v>
      </c>
      <c r="E209" s="3" t="e">
        <f>IF('Coach Card'!$T$5="",IF($D$1="Team",IF(AH208="","",AH208),""),IF($D$1="Team",IF(AE708="","",AE708),""))</f>
        <v>#N/A</v>
      </c>
      <c r="O209" s="1"/>
      <c r="R209" s="1" t="s">
        <v>1767</v>
      </c>
      <c r="S209" t="s">
        <v>2181</v>
      </c>
      <c r="T209" s="3">
        <v>0.22500000000000001</v>
      </c>
      <c r="U209" s="1" t="s">
        <v>1767</v>
      </c>
      <c r="V209" t="s">
        <v>2181</v>
      </c>
      <c r="W209" s="3">
        <v>0.22500000000000001</v>
      </c>
      <c r="X209" s="1" t="s">
        <v>1766</v>
      </c>
      <c r="Y209" t="s">
        <v>2169</v>
      </c>
      <c r="Z209" s="3">
        <v>2.9</v>
      </c>
      <c r="AK209" t="s">
        <v>2165</v>
      </c>
      <c r="AL209" t="s">
        <v>1649</v>
      </c>
      <c r="AM209">
        <v>0.5</v>
      </c>
    </row>
    <row r="210" spans="1:39" x14ac:dyDescent="0.35">
      <c r="A210" s="6" t="e">
        <f>IF('Coach Card'!$T$5="",IF($B$1="Solo",IF(L209="","",L209),IF($B$1="MSolo",IF(O209="","",O209),IF($B$1="Duet",IF(R209="","",R209),IF($B$1="Mixed",IF(U209="","",U209),IF(X209="","",X209))))),IF($B$1="Solo",IF(L709="","",L709),IF($B$1="MSolo",IF(L709="","",L709),IF($B$1="Duet",IF(O709="","",O709),IF($B$1="Mixed",IF(R709="","",R709),IF(U709="","",U709))))))</f>
        <v>#N/A</v>
      </c>
      <c r="B210" s="3" t="e">
        <f>IF('Coach Card'!$T$5="",IF($B$1="Solo",IF(M209="","",M209),IF($B$1="MSolo",IF(P209="","",P209),IF($B$1="Duet",IF(S209="","",S209),IF($B$1="Mixed",IF(V209="","",V209),IF(Y209="","",Y209))))),IF($B$1="Solo",IF(M709="","",M709),IF($B$1="MSolo",IF(M709="","",M709),IF($B$1="Duet",IF(P709="","",P709),IF($B$1="Mixed",IF(S709="","",S709),IF(V709="","",V709))))))</f>
        <v>#N/A</v>
      </c>
      <c r="C210" s="3" t="e">
        <f>IF('Coach Card'!$T$5="",IF($B$1="Solo",IF(N209="","",N209),IF($B$1="MSolo",IF(Q209="","",Q209),IF($B$1="Duet",IF(T209="","",T209),IF($B$1="Mixed",IF(W209="","",W209),IF(Z209="","",Z209))))),IF($B$1="Solo",IF(N709="","",N709),IF($B$1="MSolo",IF(N709="","",N709),IF($B$1="Duet",IF(Q709="","",Q709),IF($B$1="Mixed",IF(T709="","",T709),IF(W709="","",W709))))))</f>
        <v>#N/A</v>
      </c>
      <c r="D210" s="3" t="e">
        <f>IF('Coach Card'!$T$5="",IF($D$1="Team",IF(AG209="","",AG209),""),IF($D$1="Team",IF(AD709="","",AD709),""))</f>
        <v>#N/A</v>
      </c>
      <c r="E210" s="3" t="e">
        <f>IF('Coach Card'!$T$5="",IF($D$1="Team",IF(AH209="","",AH209),""),IF($D$1="Team",IF(AE709="","",AE709),""))</f>
        <v>#N/A</v>
      </c>
      <c r="O210" s="1"/>
      <c r="R210" s="1" t="s">
        <v>1767</v>
      </c>
      <c r="S210" t="s">
        <v>2182</v>
      </c>
      <c r="T210" s="3">
        <v>0.25</v>
      </c>
      <c r="U210" s="1" t="s">
        <v>1767</v>
      </c>
      <c r="V210" t="s">
        <v>2182</v>
      </c>
      <c r="W210" s="3">
        <v>0.25</v>
      </c>
      <c r="X210" s="1" t="s">
        <v>1766</v>
      </c>
      <c r="Y210" t="s">
        <v>2170</v>
      </c>
      <c r="Z210" s="3">
        <v>1.7</v>
      </c>
      <c r="AK210" t="s">
        <v>2166</v>
      </c>
      <c r="AL210" t="s">
        <v>1650</v>
      </c>
      <c r="AM210">
        <v>0.5</v>
      </c>
    </row>
    <row r="211" spans="1:39" x14ac:dyDescent="0.35">
      <c r="A211" s="6" t="e">
        <f>IF('Coach Card'!$T$5="",IF($B$1="Solo",IF(L210="","",L210),IF($B$1="MSolo",IF(O210="","",O210),IF($B$1="Duet",IF(R210="","",R210),IF($B$1="Mixed",IF(U210="","",U210),IF(X210="","",X210))))),IF($B$1="Solo",IF(L710="","",L710),IF($B$1="MSolo",IF(L710="","",L710),IF($B$1="Duet",IF(O710="","",O710),IF($B$1="Mixed",IF(R710="","",R710),IF(U710="","",U710))))))</f>
        <v>#N/A</v>
      </c>
      <c r="B211" s="3" t="e">
        <f>IF('Coach Card'!$T$5="",IF($B$1="Solo",IF(M210="","",M210),IF($B$1="MSolo",IF(P210="","",P210),IF($B$1="Duet",IF(S210="","",S210),IF($B$1="Mixed",IF(V210="","",V210),IF(Y210="","",Y210))))),IF($B$1="Solo",IF(M710="","",M710),IF($B$1="MSolo",IF(M710="","",M710),IF($B$1="Duet",IF(P710="","",P710),IF($B$1="Mixed",IF(S710="","",S710),IF(V710="","",V710))))))</f>
        <v>#N/A</v>
      </c>
      <c r="C211" s="3" t="e">
        <f>IF('Coach Card'!$T$5="",IF($B$1="Solo",IF(N210="","",N210),IF($B$1="MSolo",IF(Q210="","",Q210),IF($B$1="Duet",IF(T210="","",T210),IF($B$1="Mixed",IF(W210="","",W210),IF(Z210="","",Z210))))),IF($B$1="Solo",IF(N710="","",N710),IF($B$1="MSolo",IF(N710="","",N710),IF($B$1="Duet",IF(Q710="","",Q710),IF($B$1="Mixed",IF(T710="","",T710),IF(W710="","",W710))))))</f>
        <v>#N/A</v>
      </c>
      <c r="D211" s="3" t="e">
        <f>IF('Coach Card'!$T$5="",IF($D$1="Team",IF(AG210="","",AG210),""),IF($D$1="Team",IF(AD710="","",AD710),""))</f>
        <v>#N/A</v>
      </c>
      <c r="E211" s="3" t="e">
        <f>IF('Coach Card'!$T$5="",IF($D$1="Team",IF(AH210="","",AH210),""),IF($D$1="Team",IF(AE710="","",AE710),""))</f>
        <v>#N/A</v>
      </c>
      <c r="O211" s="1"/>
      <c r="R211" s="1" t="s">
        <v>1767</v>
      </c>
      <c r="S211" t="s">
        <v>2183</v>
      </c>
      <c r="T211" s="3">
        <v>0.27500000000000002</v>
      </c>
      <c r="U211" s="1" t="s">
        <v>1767</v>
      </c>
      <c r="V211" t="s">
        <v>2183</v>
      </c>
      <c r="W211" s="3">
        <v>0.27500000000000002</v>
      </c>
      <c r="X211" s="1" t="s">
        <v>1766</v>
      </c>
      <c r="Y211" t="s">
        <v>2171</v>
      </c>
      <c r="Z211" s="3">
        <v>1.95</v>
      </c>
      <c r="AK211" t="s">
        <v>2167</v>
      </c>
      <c r="AL211" t="s">
        <v>1651</v>
      </c>
      <c r="AM211">
        <v>0.5</v>
      </c>
    </row>
    <row r="212" spans="1:39" x14ac:dyDescent="0.35">
      <c r="A212" s="6" t="e">
        <f>IF('Coach Card'!$T$5="",IF($B$1="Solo",IF(L211="","",L211),IF($B$1="MSolo",IF(O211="","",O211),IF($B$1="Duet",IF(R211="","",R211),IF($B$1="Mixed",IF(U211="","",U211),IF(X211="","",X211))))),IF($B$1="Solo",IF(L711="","",L711),IF($B$1="MSolo",IF(L711="","",L711),IF($B$1="Duet",IF(O711="","",O711),IF($B$1="Mixed",IF(R711="","",R711),IF(U711="","",U711))))))</f>
        <v>#N/A</v>
      </c>
      <c r="B212" s="3" t="e">
        <f>IF('Coach Card'!$T$5="",IF($B$1="Solo",IF(M211="","",M211),IF($B$1="MSolo",IF(P211="","",P211),IF($B$1="Duet",IF(S211="","",S211),IF($B$1="Mixed",IF(V211="","",V211),IF(Y211="","",Y211))))),IF($B$1="Solo",IF(M711="","",M711),IF($B$1="MSolo",IF(M711="","",M711),IF($B$1="Duet",IF(P711="","",P711),IF($B$1="Mixed",IF(S711="","",S711),IF(V711="","",V711))))))</f>
        <v>#N/A</v>
      </c>
      <c r="C212" s="3" t="e">
        <f>IF('Coach Card'!$T$5="",IF($B$1="Solo",IF(N211="","",N211),IF($B$1="MSolo",IF(Q211="","",Q211),IF($B$1="Duet",IF(T211="","",T211),IF($B$1="Mixed",IF(W211="","",W211),IF(Z211="","",Z211))))),IF($B$1="Solo",IF(N711="","",N711),IF($B$1="MSolo",IF(N711="","",N711),IF($B$1="Duet",IF(Q711="","",Q711),IF($B$1="Mixed",IF(T711="","",T711),IF(W711="","",W711))))))</f>
        <v>#N/A</v>
      </c>
      <c r="D212" s="3" t="e">
        <f>IF('Coach Card'!$T$5="",IF($D$1="Team",IF(AG211="","",AG211),""),IF($D$1="Team",IF(AD711="","",AD711),""))</f>
        <v>#N/A</v>
      </c>
      <c r="E212" s="3" t="e">
        <f>IF('Coach Card'!$T$5="",IF($D$1="Team",IF(AH211="","",AH211),""),IF($D$1="Team",IF(AE711="","",AE711),""))</f>
        <v>#N/A</v>
      </c>
      <c r="O212" s="1"/>
      <c r="R212" s="1" t="s">
        <v>1767</v>
      </c>
      <c r="S212" t="s">
        <v>2184</v>
      </c>
      <c r="T212" s="3">
        <v>0.27500000000000002</v>
      </c>
      <c r="U212" s="1" t="s">
        <v>1767</v>
      </c>
      <c r="V212" t="s">
        <v>2184</v>
      </c>
      <c r="W212" s="3">
        <v>0.27500000000000002</v>
      </c>
      <c r="X212" s="1" t="s">
        <v>1766</v>
      </c>
      <c r="Y212" t="s">
        <v>2172</v>
      </c>
      <c r="Z212" s="3">
        <v>2.2000000000000002</v>
      </c>
      <c r="AK212" t="s">
        <v>2168</v>
      </c>
      <c r="AL212" t="s">
        <v>1652</v>
      </c>
      <c r="AM212">
        <v>0.5</v>
      </c>
    </row>
    <row r="213" spans="1:39" x14ac:dyDescent="0.35">
      <c r="A213" s="6" t="e">
        <f>IF('Coach Card'!$T$5="",IF($B$1="Solo",IF(L212="","",L212),IF($B$1="MSolo",IF(O212="","",O212),IF($B$1="Duet",IF(R212="","",R212),IF($B$1="Mixed",IF(U212="","",U212),IF(X212="","",X212))))),IF($B$1="Solo",IF(L712="","",L712),IF($B$1="MSolo",IF(L712="","",L712),IF($B$1="Duet",IF(O712="","",O712),IF($B$1="Mixed",IF(R712="","",R712),IF(U712="","",U712))))))</f>
        <v>#N/A</v>
      </c>
      <c r="B213" s="3" t="e">
        <f>IF('Coach Card'!$T$5="",IF($B$1="Solo",IF(M212="","",M212),IF($B$1="MSolo",IF(P212="","",P212),IF($B$1="Duet",IF(S212="","",S212),IF($B$1="Mixed",IF(V212="","",V212),IF(Y212="","",Y212))))),IF($B$1="Solo",IF(M712="","",M712),IF($B$1="MSolo",IF(M712="","",M712),IF($B$1="Duet",IF(P712="","",P712),IF($B$1="Mixed",IF(S712="","",S712),IF(V712="","",V712))))))</f>
        <v>#N/A</v>
      </c>
      <c r="C213" s="3" t="e">
        <f>IF('Coach Card'!$T$5="",IF($B$1="Solo",IF(N212="","",N212),IF($B$1="MSolo",IF(Q212="","",Q212),IF($B$1="Duet",IF(T212="","",T212),IF($B$1="Mixed",IF(W212="","",W212),IF(Z212="","",Z212))))),IF($B$1="Solo",IF(N712="","",N712),IF($B$1="MSolo",IF(N712="","",N712),IF($B$1="Duet",IF(Q712="","",Q712),IF($B$1="Mixed",IF(T712="","",T712),IF(W712="","",W712))))))</f>
        <v>#N/A</v>
      </c>
      <c r="D213" s="3" t="e">
        <f>IF('Coach Card'!$T$5="",IF($D$1="Team",IF(AG212="","",AG212),""),IF($D$1="Team",IF(AD712="","",AD712),""))</f>
        <v>#N/A</v>
      </c>
      <c r="E213" s="3" t="e">
        <f>IF('Coach Card'!$T$5="",IF($D$1="Team",IF(AH212="","",AH212),""),IF($D$1="Team",IF(AE712="","",AE712),""))</f>
        <v>#N/A</v>
      </c>
      <c r="O213" s="1"/>
      <c r="R213" s="1" t="s">
        <v>1767</v>
      </c>
      <c r="S213" t="s">
        <v>2185</v>
      </c>
      <c r="T213" s="3">
        <v>0.27500000000000002</v>
      </c>
      <c r="U213" s="1" t="s">
        <v>1767</v>
      </c>
      <c r="V213" t="s">
        <v>2185</v>
      </c>
      <c r="W213" s="3">
        <v>0.27500000000000002</v>
      </c>
      <c r="X213" s="1" t="s">
        <v>1766</v>
      </c>
      <c r="Y213" t="s">
        <v>2173</v>
      </c>
      <c r="Z213" s="3">
        <v>2.4500000000000002</v>
      </c>
      <c r="AK213" t="s">
        <v>2169</v>
      </c>
      <c r="AL213" t="s">
        <v>1653</v>
      </c>
      <c r="AM213">
        <v>0.5</v>
      </c>
    </row>
    <row r="214" spans="1:39" x14ac:dyDescent="0.35">
      <c r="A214" s="6" t="e">
        <f>IF('Coach Card'!$T$5="",IF($B$1="Solo",IF(L213="","",L213),IF($B$1="MSolo",IF(O213="","",O213),IF($B$1="Duet",IF(R213="","",R213),IF($B$1="Mixed",IF(U213="","",U213),IF(X213="","",X213))))),IF($B$1="Solo",IF(L713="","",L713),IF($B$1="MSolo",IF(L713="","",L713),IF($B$1="Duet",IF(O713="","",O713),IF($B$1="Mixed",IF(R713="","",R713),IF(U713="","",U713))))))</f>
        <v>#N/A</v>
      </c>
      <c r="B214" s="3" t="e">
        <f>IF('Coach Card'!$T$5="",IF($B$1="Solo",IF(M213="","",M213),IF($B$1="MSolo",IF(P213="","",P213),IF($B$1="Duet",IF(S213="","",S213),IF($B$1="Mixed",IF(V213="","",V213),IF(Y213="","",Y213))))),IF($B$1="Solo",IF(M713="","",M713),IF($B$1="MSolo",IF(M713="","",M713),IF($B$1="Duet",IF(P713="","",P713),IF($B$1="Mixed",IF(S713="","",S713),IF(V713="","",V713))))))</f>
        <v>#N/A</v>
      </c>
      <c r="C214" s="3" t="e">
        <f>IF('Coach Card'!$T$5="",IF($B$1="Solo",IF(N213="","",N213),IF($B$1="MSolo",IF(Q213="","",Q213),IF($B$1="Duet",IF(T213="","",T213),IF($B$1="Mixed",IF(W213="","",W213),IF(Z213="","",Z213))))),IF($B$1="Solo",IF(N713="","",N713),IF($B$1="MSolo",IF(N713="","",N713),IF($B$1="Duet",IF(Q713="","",Q713),IF($B$1="Mixed",IF(T713="","",T713),IF(W713="","",W713))))))</f>
        <v>#N/A</v>
      </c>
      <c r="D214" s="3" t="e">
        <f>IF('Coach Card'!$T$5="",IF($D$1="Team",IF(AG213="","",AG213),""),IF($D$1="Team",IF(AD713="","",AD713),""))</f>
        <v>#N/A</v>
      </c>
      <c r="E214" s="3" t="e">
        <f>IF('Coach Card'!$T$5="",IF($D$1="Team",IF(AH213="","",AH213),""),IF($D$1="Team",IF(AE713="","",AE713),""))</f>
        <v>#N/A</v>
      </c>
      <c r="O214" s="1"/>
      <c r="R214" s="1" t="s">
        <v>1767</v>
      </c>
      <c r="S214" t="s">
        <v>2186</v>
      </c>
      <c r="T214" s="3">
        <v>0.2</v>
      </c>
      <c r="U214" s="1" t="s">
        <v>1767</v>
      </c>
      <c r="V214" t="s">
        <v>2186</v>
      </c>
      <c r="W214" s="3">
        <v>0.2</v>
      </c>
      <c r="X214" s="1" t="s">
        <v>1767</v>
      </c>
      <c r="Y214" t="s">
        <v>2174</v>
      </c>
      <c r="Z214" s="3">
        <v>0.05</v>
      </c>
      <c r="AK214" t="s">
        <v>2170</v>
      </c>
      <c r="AL214" t="s">
        <v>1654</v>
      </c>
      <c r="AM214">
        <v>0.5</v>
      </c>
    </row>
    <row r="215" spans="1:39" x14ac:dyDescent="0.35">
      <c r="A215" s="6" t="e">
        <f>IF('Coach Card'!$T$5="",IF($B$1="Solo",IF(L214="","",L214),IF($B$1="MSolo",IF(O214="","",O214),IF($B$1="Duet",IF(R214="","",R214),IF($B$1="Mixed",IF(U214="","",U214),IF(X214="","",X214))))),IF($B$1="Solo",IF(L714="","",L714),IF($B$1="MSolo",IF(L714="","",L714),IF($B$1="Duet",IF(O714="","",O714),IF($B$1="Mixed",IF(R714="","",R714),IF(U714="","",U714))))))</f>
        <v>#N/A</v>
      </c>
      <c r="B215" s="3" t="e">
        <f>IF('Coach Card'!$T$5="",IF($B$1="Solo",IF(M214="","",M214),IF($B$1="MSolo",IF(P214="","",P214),IF($B$1="Duet",IF(S214="","",S214),IF($B$1="Mixed",IF(V214="","",V214),IF(Y214="","",Y214))))),IF($B$1="Solo",IF(M714="","",M714),IF($B$1="MSolo",IF(M714="","",M714),IF($B$1="Duet",IF(P714="","",P714),IF($B$1="Mixed",IF(S714="","",S714),IF(V714="","",V714))))))</f>
        <v>#N/A</v>
      </c>
      <c r="C215" s="3" t="e">
        <f>IF('Coach Card'!$T$5="",IF($B$1="Solo",IF(N214="","",N214),IF($B$1="MSolo",IF(Q214="","",Q214),IF($B$1="Duet",IF(T214="","",T214),IF($B$1="Mixed",IF(W214="","",W214),IF(Z214="","",Z214))))),IF($B$1="Solo",IF(N714="","",N714),IF($B$1="MSolo",IF(N714="","",N714),IF($B$1="Duet",IF(Q714="","",Q714),IF($B$1="Mixed",IF(T714="","",T714),IF(W714="","",W714))))))</f>
        <v>#N/A</v>
      </c>
      <c r="D215" s="3" t="e">
        <f>IF('Coach Card'!$T$5="",IF($D$1="Team",IF(AG214="","",AG214),""),IF($D$1="Team",IF(AD714="","",AD714),""))</f>
        <v>#N/A</v>
      </c>
      <c r="E215" s="3" t="e">
        <f>IF('Coach Card'!$T$5="",IF($D$1="Team",IF(AH214="","",AH214),""),IF($D$1="Team",IF(AE714="","",AE714),""))</f>
        <v>#N/A</v>
      </c>
      <c r="O215" s="1"/>
      <c r="R215" s="1" t="s">
        <v>1767</v>
      </c>
      <c r="S215" t="s">
        <v>2187</v>
      </c>
      <c r="T215" s="3">
        <v>0.375</v>
      </c>
      <c r="U215" s="1" t="s">
        <v>1767</v>
      </c>
      <c r="V215" t="s">
        <v>2187</v>
      </c>
      <c r="W215" s="3">
        <v>0.375</v>
      </c>
      <c r="X215" s="1" t="s">
        <v>1767</v>
      </c>
      <c r="Y215" t="s">
        <v>2175</v>
      </c>
      <c r="Z215" s="3">
        <v>7.4999999999999997E-2</v>
      </c>
      <c r="AK215" t="s">
        <v>2171</v>
      </c>
      <c r="AL215" t="s">
        <v>1655</v>
      </c>
      <c r="AM215">
        <v>0.5</v>
      </c>
    </row>
    <row r="216" spans="1:39" x14ac:dyDescent="0.35">
      <c r="A216" s="6" t="e">
        <f>IF('Coach Card'!$T$5="",IF($B$1="Solo",IF(L215="","",L215),IF($B$1="MSolo",IF(O215="","",O215),IF($B$1="Duet",IF(R215="","",R215),IF($B$1="Mixed",IF(U215="","",U215),IF(X215="","",X215))))),IF($B$1="Solo",IF(L715="","",L715),IF($B$1="MSolo",IF(L715="","",L715),IF($B$1="Duet",IF(O715="","",O715),IF($B$1="Mixed",IF(R715="","",R715),IF(U715="","",U715))))))</f>
        <v>#N/A</v>
      </c>
      <c r="B216" s="3" t="e">
        <f>IF('Coach Card'!$T$5="",IF($B$1="Solo",IF(M215="","",M215),IF($B$1="MSolo",IF(P215="","",P215),IF($B$1="Duet",IF(S215="","",S215),IF($B$1="Mixed",IF(V215="","",V215),IF(Y215="","",Y215))))),IF($B$1="Solo",IF(M715="","",M715),IF($B$1="MSolo",IF(M715="","",M715),IF($B$1="Duet",IF(P715="","",P715),IF($B$1="Mixed",IF(S715="","",S715),IF(V715="","",V715))))))</f>
        <v>#N/A</v>
      </c>
      <c r="C216" s="3" t="e">
        <f>IF('Coach Card'!$T$5="",IF($B$1="Solo",IF(N215="","",N215),IF($B$1="MSolo",IF(Q215="","",Q215),IF($B$1="Duet",IF(T215="","",T215),IF($B$1="Mixed",IF(W215="","",W215),IF(Z215="","",Z215))))),IF($B$1="Solo",IF(N715="","",N715),IF($B$1="MSolo",IF(N715="","",N715),IF($B$1="Duet",IF(Q715="","",Q715),IF($B$1="Mixed",IF(T715="","",T715),IF(W715="","",W715))))))</f>
        <v>#N/A</v>
      </c>
      <c r="D216" s="3" t="e">
        <f>IF('Coach Card'!$T$5="",IF($D$1="Team",IF(AG215="","",AG215),""),IF($D$1="Team",IF(AD715="","",AD715),""))</f>
        <v>#N/A</v>
      </c>
      <c r="E216" s="3" t="e">
        <f>IF('Coach Card'!$T$5="",IF($D$1="Team",IF(AH215="","",AH215),""),IF($D$1="Team",IF(AE715="","",AE715),""))</f>
        <v>#N/A</v>
      </c>
      <c r="O216" s="1"/>
      <c r="R216" s="1" t="s">
        <v>1767</v>
      </c>
      <c r="S216" t="s">
        <v>2188</v>
      </c>
      <c r="T216" s="3">
        <v>0.47499999999999998</v>
      </c>
      <c r="U216" s="1" t="s">
        <v>1767</v>
      </c>
      <c r="V216" t="s">
        <v>2188</v>
      </c>
      <c r="W216" s="3">
        <v>0.47499999999999998</v>
      </c>
      <c r="X216" s="1" t="s">
        <v>1767</v>
      </c>
      <c r="Y216" t="s">
        <v>2176</v>
      </c>
      <c r="Z216" s="3">
        <v>0.1</v>
      </c>
      <c r="AK216" t="s">
        <v>2172</v>
      </c>
      <c r="AL216" t="s">
        <v>1656</v>
      </c>
      <c r="AM216">
        <v>0.5</v>
      </c>
    </row>
    <row r="217" spans="1:39" x14ac:dyDescent="0.35">
      <c r="A217" s="6" t="e">
        <f>IF('Coach Card'!$T$5="",IF($B$1="Solo",IF(L216="","",L216),IF($B$1="MSolo",IF(O216="","",O216),IF($B$1="Duet",IF(R216="","",R216),IF($B$1="Mixed",IF(U216="","",U216),IF(X216="","",X216))))),IF($B$1="Solo",IF(L716="","",L716),IF($B$1="MSolo",IF(L716="","",L716),IF($B$1="Duet",IF(O716="","",O716),IF($B$1="Mixed",IF(R716="","",R716),IF(U716="","",U716))))))</f>
        <v>#N/A</v>
      </c>
      <c r="B217" s="3" t="e">
        <f>IF('Coach Card'!$T$5="",IF($B$1="Solo",IF(M216="","",M216),IF($B$1="MSolo",IF(P216="","",P216),IF($B$1="Duet",IF(S216="","",S216),IF($B$1="Mixed",IF(V216="","",V216),IF(Y216="","",Y216))))),IF($B$1="Solo",IF(M716="","",M716),IF($B$1="MSolo",IF(M716="","",M716),IF($B$1="Duet",IF(P716="","",P716),IF($B$1="Mixed",IF(S716="","",S716),IF(V716="","",V716))))))</f>
        <v>#N/A</v>
      </c>
      <c r="C217" s="3" t="e">
        <f>IF('Coach Card'!$T$5="",IF($B$1="Solo",IF(N216="","",N216),IF($B$1="MSolo",IF(Q216="","",Q216),IF($B$1="Duet",IF(T216="","",T216),IF($B$1="Mixed",IF(W216="","",W216),IF(Z216="","",Z216))))),IF($B$1="Solo",IF(N716="","",N716),IF($B$1="MSolo",IF(N716="","",N716),IF($B$1="Duet",IF(Q716="","",Q716),IF($B$1="Mixed",IF(T716="","",T716),IF(W716="","",W716))))))</f>
        <v>#N/A</v>
      </c>
      <c r="D217" s="3" t="e">
        <f>IF('Coach Card'!$T$5="",IF($D$1="Team",IF(AG216="","",AG216),""),IF($D$1="Team",IF(AD716="","",AD716),""))</f>
        <v>#N/A</v>
      </c>
      <c r="E217" s="3" t="e">
        <f>IF('Coach Card'!$T$5="",IF($D$1="Team",IF(AH216="","",AH216),""),IF($D$1="Team",IF(AE716="","",AE716),""))</f>
        <v>#N/A</v>
      </c>
      <c r="O217" s="1"/>
      <c r="R217" s="1" t="s">
        <v>1767</v>
      </c>
      <c r="S217" t="s">
        <v>2189</v>
      </c>
      <c r="T217" s="3">
        <v>0.52500000000000002</v>
      </c>
      <c r="U217" s="1" t="s">
        <v>1767</v>
      </c>
      <c r="V217" t="s">
        <v>2189</v>
      </c>
      <c r="W217" s="3">
        <v>0.52500000000000002</v>
      </c>
      <c r="X217" s="1" t="s">
        <v>1767</v>
      </c>
      <c r="Y217" t="s">
        <v>2177</v>
      </c>
      <c r="Z217" s="3">
        <v>0.125</v>
      </c>
      <c r="AK217" t="s">
        <v>2173</v>
      </c>
      <c r="AL217" t="s">
        <v>1657</v>
      </c>
      <c r="AM217">
        <v>0.5</v>
      </c>
    </row>
    <row r="218" spans="1:39" x14ac:dyDescent="0.35">
      <c r="A218" s="6" t="e">
        <f>IF('Coach Card'!$T$5="",IF($B$1="Solo",IF(L217="","",L217),IF($B$1="MSolo",IF(O217="","",O217),IF($B$1="Duet",IF(R217="","",R217),IF($B$1="Mixed",IF(U217="","",U217),IF(X217="","",X217))))),IF($B$1="Solo",IF(L717="","",L717),IF($B$1="MSolo",IF(L717="","",L717),IF($B$1="Duet",IF(O717="","",O717),IF($B$1="Mixed",IF(R717="","",R717),IF(U717="","",U717))))))</f>
        <v>#N/A</v>
      </c>
      <c r="B218" s="3" t="e">
        <f>IF('Coach Card'!$T$5="",IF($B$1="Solo",IF(M217="","",M217),IF($B$1="MSolo",IF(P217="","",P217),IF($B$1="Duet",IF(S217="","",S217),IF($B$1="Mixed",IF(V217="","",V217),IF(Y217="","",Y217))))),IF($B$1="Solo",IF(M717="","",M717),IF($B$1="MSolo",IF(M717="","",M717),IF($B$1="Duet",IF(P717="","",P717),IF($B$1="Mixed",IF(S717="","",S717),IF(V717="","",V717))))))</f>
        <v>#N/A</v>
      </c>
      <c r="C218" s="3" t="e">
        <f>IF('Coach Card'!$T$5="",IF($B$1="Solo",IF(N217="","",N217),IF($B$1="MSolo",IF(Q217="","",Q217),IF($B$1="Duet",IF(T217="","",T217),IF($B$1="Mixed",IF(W217="","",W217),IF(Z217="","",Z217))))),IF($B$1="Solo",IF(N717="","",N717),IF($B$1="MSolo",IF(N717="","",N717),IF($B$1="Duet",IF(Q717="","",Q717),IF($B$1="Mixed",IF(T717="","",T717),IF(W717="","",W717))))))</f>
        <v>#N/A</v>
      </c>
      <c r="D218" s="3" t="e">
        <f>IF('Coach Card'!$T$5="",IF($D$1="Team",IF(AG217="","",AG217),""),IF($D$1="Team",IF(AD717="","",AD717),""))</f>
        <v>#N/A</v>
      </c>
      <c r="E218" s="3" t="e">
        <f>IF('Coach Card'!$T$5="",IF($D$1="Team",IF(AH217="","",AH217),""),IF($D$1="Team",IF(AE717="","",AE717),""))</f>
        <v>#N/A</v>
      </c>
      <c r="O218" s="1"/>
      <c r="R218" s="1" t="s">
        <v>1767</v>
      </c>
      <c r="S218" t="s">
        <v>2190</v>
      </c>
      <c r="T218" s="3">
        <v>0.57499999999999996</v>
      </c>
      <c r="U218" s="1" t="s">
        <v>1767</v>
      </c>
      <c r="V218" t="s">
        <v>2190</v>
      </c>
      <c r="W218" s="3">
        <v>0.57499999999999996</v>
      </c>
      <c r="X218" s="1" t="s">
        <v>1767</v>
      </c>
      <c r="Y218" t="s">
        <v>2178</v>
      </c>
      <c r="Z218" s="3">
        <v>0.125</v>
      </c>
      <c r="AK218" t="s">
        <v>2174</v>
      </c>
      <c r="AL218" t="s">
        <v>1658</v>
      </c>
      <c r="AM218">
        <v>0.5</v>
      </c>
    </row>
    <row r="219" spans="1:39" x14ac:dyDescent="0.35">
      <c r="A219" s="6" t="e">
        <f>IF('Coach Card'!$T$5="",IF($B$1="Solo",IF(L218="","",L218),IF($B$1="MSolo",IF(O218="","",O218),IF($B$1="Duet",IF(R218="","",R218),IF($B$1="Mixed",IF(U218="","",U218),IF(X218="","",X218))))),IF($B$1="Solo",IF(L718="","",L718),IF($B$1="MSolo",IF(L718="","",L718),IF($B$1="Duet",IF(O718="","",O718),IF($B$1="Mixed",IF(R718="","",R718),IF(U718="","",U718))))))</f>
        <v>#N/A</v>
      </c>
      <c r="B219" s="3" t="e">
        <f>IF('Coach Card'!$T$5="",IF($B$1="Solo",IF(M218="","",M218),IF($B$1="MSolo",IF(P218="","",P218),IF($B$1="Duet",IF(S218="","",S218),IF($B$1="Mixed",IF(V218="","",V218),IF(Y218="","",Y218))))),IF($B$1="Solo",IF(M718="","",M718),IF($B$1="MSolo",IF(M718="","",M718),IF($B$1="Duet",IF(P718="","",P718),IF($B$1="Mixed",IF(S718="","",S718),IF(V718="","",V718))))))</f>
        <v>#N/A</v>
      </c>
      <c r="C219" s="3" t="e">
        <f>IF('Coach Card'!$T$5="",IF($B$1="Solo",IF(N218="","",N218),IF($B$1="MSolo",IF(Q218="","",Q218),IF($B$1="Duet",IF(T218="","",T218),IF($B$1="Mixed",IF(W218="","",W218),IF(Z218="","",Z218))))),IF($B$1="Solo",IF(N718="","",N718),IF($B$1="MSolo",IF(N718="","",N718),IF($B$1="Duet",IF(Q718="","",Q718),IF($B$1="Mixed",IF(T718="","",T718),IF(W718="","",W718))))))</f>
        <v>#N/A</v>
      </c>
      <c r="D219" s="3" t="e">
        <f>IF('Coach Card'!$T$5="",IF($D$1="Team",IF(AG218="","",AG218),""),IF($D$1="Team",IF(AD718="","",AD718),""))</f>
        <v>#N/A</v>
      </c>
      <c r="E219" s="3" t="e">
        <f>IF('Coach Card'!$T$5="",IF($D$1="Team",IF(AH218="","",AH218),""),IF($D$1="Team",IF(AE718="","",AE718),""))</f>
        <v>#N/A</v>
      </c>
      <c r="O219" s="1"/>
      <c r="R219" s="1" t="s">
        <v>1767</v>
      </c>
      <c r="S219" t="s">
        <v>2191</v>
      </c>
      <c r="T219" s="3">
        <v>0.3</v>
      </c>
      <c r="U219" s="1" t="s">
        <v>1767</v>
      </c>
      <c r="V219" t="s">
        <v>2191</v>
      </c>
      <c r="W219" s="3">
        <v>0.3</v>
      </c>
      <c r="X219" s="1" t="s">
        <v>1767</v>
      </c>
      <c r="Y219" t="s">
        <v>2179</v>
      </c>
      <c r="Z219" s="3">
        <v>0.1</v>
      </c>
      <c r="AK219" t="s">
        <v>2175</v>
      </c>
      <c r="AL219" t="s">
        <v>1659</v>
      </c>
      <c r="AM219">
        <v>0.5</v>
      </c>
    </row>
    <row r="220" spans="1:39" x14ac:dyDescent="0.35">
      <c r="A220" s="6" t="e">
        <f>IF('Coach Card'!$T$5="",IF($B$1="Solo",IF(L219="","",L219),IF($B$1="MSolo",IF(O219="","",O219),IF($B$1="Duet",IF(R219="","",R219),IF($B$1="Mixed",IF(U219="","",U219),IF(X219="","",X219))))),IF($B$1="Solo",IF(L719="","",L719),IF($B$1="MSolo",IF(L719="","",L719),IF($B$1="Duet",IF(O719="","",O719),IF($B$1="Mixed",IF(R719="","",R719),IF(U719="","",U719))))))</f>
        <v>#N/A</v>
      </c>
      <c r="B220" s="3" t="e">
        <f>IF('Coach Card'!$T$5="",IF($B$1="Solo",IF(M219="","",M219),IF($B$1="MSolo",IF(P219="","",P219),IF($B$1="Duet",IF(S219="","",S219),IF($B$1="Mixed",IF(V219="","",V219),IF(Y219="","",Y219))))),IF($B$1="Solo",IF(M719="","",M719),IF($B$1="MSolo",IF(M719="","",M719),IF($B$1="Duet",IF(P719="","",P719),IF($B$1="Mixed",IF(S719="","",S719),IF(V719="","",V719))))))</f>
        <v>#N/A</v>
      </c>
      <c r="C220" s="3" t="e">
        <f>IF('Coach Card'!$T$5="",IF($B$1="Solo",IF(N219="","",N219),IF($B$1="MSolo",IF(Q219="","",Q219),IF($B$1="Duet",IF(T219="","",T219),IF($B$1="Mixed",IF(W219="","",W219),IF(Z219="","",Z219))))),IF($B$1="Solo",IF(N719="","",N719),IF($B$1="MSolo",IF(N719="","",N719),IF($B$1="Duet",IF(Q719="","",Q719),IF($B$1="Mixed",IF(T719="","",T719),IF(W719="","",W719))))))</f>
        <v>#N/A</v>
      </c>
      <c r="D220" s="3" t="e">
        <f>IF('Coach Card'!$T$5="",IF($D$1="Team",IF(AG219="","",AG219),""),IF($D$1="Team",IF(AD719="","",AD719),""))</f>
        <v>#N/A</v>
      </c>
      <c r="E220" s="3" t="e">
        <f>IF('Coach Card'!$T$5="",IF($D$1="Team",IF(AH219="","",AH219),""),IF($D$1="Team",IF(AE719="","",AE719),""))</f>
        <v>#N/A</v>
      </c>
      <c r="O220" s="1"/>
      <c r="R220" s="1" t="s">
        <v>1767</v>
      </c>
      <c r="S220" t="s">
        <v>2192</v>
      </c>
      <c r="T220" s="3">
        <v>0.57499999999999996</v>
      </c>
      <c r="U220" s="1" t="s">
        <v>1767</v>
      </c>
      <c r="V220" t="s">
        <v>2192</v>
      </c>
      <c r="W220" s="3">
        <v>0.57499999999999996</v>
      </c>
      <c r="X220" s="1" t="s">
        <v>1767</v>
      </c>
      <c r="Y220" t="s">
        <v>2180</v>
      </c>
      <c r="Z220" s="3">
        <v>0.17499999999999999</v>
      </c>
      <c r="AK220" t="s">
        <v>2176</v>
      </c>
      <c r="AL220" t="s">
        <v>1660</v>
      </c>
      <c r="AM220">
        <v>0.5</v>
      </c>
    </row>
    <row r="221" spans="1:39" x14ac:dyDescent="0.35">
      <c r="A221" s="6" t="e">
        <f>IF('Coach Card'!$T$5="",IF($B$1="Solo",IF(L220="","",L220),IF($B$1="MSolo",IF(O220="","",O220),IF($B$1="Duet",IF(R220="","",R220),IF($B$1="Mixed",IF(U220="","",U220),IF(X220="","",X220))))),IF($B$1="Solo",IF(L720="","",L720),IF($B$1="MSolo",IF(L720="","",L720),IF($B$1="Duet",IF(O720="","",O720),IF($B$1="Mixed",IF(R720="","",R720),IF(U720="","",U720))))))</f>
        <v>#N/A</v>
      </c>
      <c r="B221" s="3" t="e">
        <f>IF('Coach Card'!$T$5="",IF($B$1="Solo",IF(M220="","",M220),IF($B$1="MSolo",IF(P220="","",P220),IF($B$1="Duet",IF(S220="","",S220),IF($B$1="Mixed",IF(V220="","",V220),IF(Y220="","",Y220))))),IF($B$1="Solo",IF(M720="","",M720),IF($B$1="MSolo",IF(M720="","",M720),IF($B$1="Duet",IF(P720="","",P720),IF($B$1="Mixed",IF(S720="","",S720),IF(V720="","",V720))))))</f>
        <v>#N/A</v>
      </c>
      <c r="C221" s="3" t="e">
        <f>IF('Coach Card'!$T$5="",IF($B$1="Solo",IF(N220="","",N220),IF($B$1="MSolo",IF(Q220="","",Q220),IF($B$1="Duet",IF(T220="","",T220),IF($B$1="Mixed",IF(W220="","",W220),IF(Z220="","",Z220))))),IF($B$1="Solo",IF(N720="","",N720),IF($B$1="MSolo",IF(N720="","",N720),IF($B$1="Duet",IF(Q720="","",Q720),IF($B$1="Mixed",IF(T720="","",T720),IF(W720="","",W720))))))</f>
        <v>#N/A</v>
      </c>
      <c r="D221" s="3" t="e">
        <f>IF('Coach Card'!$T$5="",IF($D$1="Team",IF(AG220="","",AG220),""),IF($D$1="Team",IF(AD720="","",AD720),""))</f>
        <v>#N/A</v>
      </c>
      <c r="E221" s="3" t="e">
        <f>IF('Coach Card'!$T$5="",IF($D$1="Team",IF(AH220="","",AH220),""),IF($D$1="Team",IF(AE720="","",AE720),""))</f>
        <v>#N/A</v>
      </c>
      <c r="O221" s="1"/>
      <c r="R221" s="1" t="s">
        <v>1767</v>
      </c>
      <c r="S221" t="s">
        <v>2193</v>
      </c>
      <c r="T221" s="3">
        <v>0.72499999999999998</v>
      </c>
      <c r="U221" s="1" t="s">
        <v>1767</v>
      </c>
      <c r="V221" t="s">
        <v>2193</v>
      </c>
      <c r="W221" s="3">
        <v>0.72499999999999998</v>
      </c>
      <c r="X221" s="1" t="s">
        <v>1767</v>
      </c>
      <c r="Y221" t="s">
        <v>2181</v>
      </c>
      <c r="Z221" s="3">
        <v>0.22500000000000001</v>
      </c>
      <c r="AK221" t="s">
        <v>2177</v>
      </c>
      <c r="AL221" t="s">
        <v>1798</v>
      </c>
      <c r="AM221">
        <v>0.5</v>
      </c>
    </row>
    <row r="222" spans="1:39" x14ac:dyDescent="0.35">
      <c r="A222" s="6" t="e">
        <f>IF('Coach Card'!$T$5="",IF($B$1="Solo",IF(L221="","",L221),IF($B$1="MSolo",IF(O221="","",O221),IF($B$1="Duet",IF(R221="","",R221),IF($B$1="Mixed",IF(U221="","",U221),IF(X221="","",X221))))),IF($B$1="Solo",IF(L721="","",L721),IF($B$1="MSolo",IF(L721="","",L721),IF($B$1="Duet",IF(O721="","",O721),IF($B$1="Mixed",IF(R721="","",R721),IF(U721="","",U721))))))</f>
        <v>#N/A</v>
      </c>
      <c r="B222" s="3" t="e">
        <f>IF('Coach Card'!$T$5="",IF($B$1="Solo",IF(M221="","",M221),IF($B$1="MSolo",IF(P221="","",P221),IF($B$1="Duet",IF(S221="","",S221),IF($B$1="Mixed",IF(V221="","",V221),IF(Y221="","",Y221))))),IF($B$1="Solo",IF(M721="","",M721),IF($B$1="MSolo",IF(M721="","",M721),IF($B$1="Duet",IF(P721="","",P721),IF($B$1="Mixed",IF(S721="","",S721),IF(V721="","",V721))))))</f>
        <v>#N/A</v>
      </c>
      <c r="C222" s="3" t="e">
        <f>IF('Coach Card'!$T$5="",IF($B$1="Solo",IF(N221="","",N221),IF($B$1="MSolo",IF(Q221="","",Q221),IF($B$1="Duet",IF(T221="","",T221),IF($B$1="Mixed",IF(W221="","",W221),IF(Z221="","",Z221))))),IF($B$1="Solo",IF(N721="","",N721),IF($B$1="MSolo",IF(N721="","",N721),IF($B$1="Duet",IF(Q721="","",Q721),IF($B$1="Mixed",IF(T721="","",T721),IF(W721="","",W721))))))</f>
        <v>#N/A</v>
      </c>
      <c r="D222" s="3" t="e">
        <f>IF('Coach Card'!$T$5="",IF($D$1="Team",IF(AG221="","",AG221),""),IF($D$1="Team",IF(AD721="","",AD721),""))</f>
        <v>#N/A</v>
      </c>
      <c r="E222" s="3" t="e">
        <f>IF('Coach Card'!$T$5="",IF($D$1="Team",IF(AH221="","",AH221),""),IF($D$1="Team",IF(AE721="","",AE721),""))</f>
        <v>#N/A</v>
      </c>
      <c r="O222" s="1"/>
      <c r="R222" s="1" t="s">
        <v>1767</v>
      </c>
      <c r="S222" t="s">
        <v>2194</v>
      </c>
      <c r="T222" s="3">
        <v>0.875</v>
      </c>
      <c r="U222" s="1" t="s">
        <v>1767</v>
      </c>
      <c r="V222" t="s">
        <v>2194</v>
      </c>
      <c r="W222" s="3">
        <v>0.875</v>
      </c>
      <c r="X222" s="1" t="s">
        <v>1767</v>
      </c>
      <c r="Y222" t="s">
        <v>2182</v>
      </c>
      <c r="Z222" s="3">
        <v>0.25</v>
      </c>
      <c r="AK222" t="s">
        <v>2178</v>
      </c>
      <c r="AL222" t="s">
        <v>1799</v>
      </c>
      <c r="AM222">
        <v>0.5</v>
      </c>
    </row>
    <row r="223" spans="1:39" x14ac:dyDescent="0.35">
      <c r="A223" s="6" t="e">
        <f>IF('Coach Card'!$T$5="",IF($B$1="Solo",IF(L222="","",L222),IF($B$1="MSolo",IF(O222="","",O222),IF($B$1="Duet",IF(R222="","",R222),IF($B$1="Mixed",IF(U222="","",U222),IF(X222="","",X222))))),IF($B$1="Solo",IF(L722="","",L722),IF($B$1="MSolo",IF(L722="","",L722),IF($B$1="Duet",IF(O722="","",O722),IF($B$1="Mixed",IF(R722="","",R722),IF(U722="","",U722))))))</f>
        <v>#N/A</v>
      </c>
      <c r="B223" s="3" t="e">
        <f>IF('Coach Card'!$T$5="",IF($B$1="Solo",IF(M222="","",M222),IF($B$1="MSolo",IF(P222="","",P222),IF($B$1="Duet",IF(S222="","",S222),IF($B$1="Mixed",IF(V222="","",V222),IF(Y222="","",Y222))))),IF($B$1="Solo",IF(M722="","",M722),IF($B$1="MSolo",IF(M722="","",M722),IF($B$1="Duet",IF(P722="","",P722),IF($B$1="Mixed",IF(S722="","",S722),IF(V722="","",V722))))))</f>
        <v>#N/A</v>
      </c>
      <c r="C223" s="3" t="e">
        <f>IF('Coach Card'!$T$5="",IF($B$1="Solo",IF(N222="","",N222),IF($B$1="MSolo",IF(Q222="","",Q222),IF($B$1="Duet",IF(T222="","",T222),IF($B$1="Mixed",IF(W222="","",W222),IF(Z222="","",Z222))))),IF($B$1="Solo",IF(N722="","",N722),IF($B$1="MSolo",IF(N722="","",N722),IF($B$1="Duet",IF(Q722="","",Q722),IF($B$1="Mixed",IF(T722="","",T722),IF(W722="","",W722))))))</f>
        <v>#N/A</v>
      </c>
      <c r="D223" s="3" t="e">
        <f>IF('Coach Card'!$T$5="",IF($D$1="Team",IF(AG222="","",AG222),""),IF($D$1="Team",IF(AD722="","",AD722),""))</f>
        <v>#N/A</v>
      </c>
      <c r="E223" s="3" t="e">
        <f>IF('Coach Card'!$T$5="",IF($D$1="Team",IF(AH222="","",AH222),""),IF($D$1="Team",IF(AE722="","",AE722),""))</f>
        <v>#N/A</v>
      </c>
      <c r="O223" s="1"/>
      <c r="R223" s="1" t="s">
        <v>1767</v>
      </c>
      <c r="S223" t="s">
        <v>2195</v>
      </c>
      <c r="T223" s="3">
        <v>0.4</v>
      </c>
      <c r="U223" s="1" t="s">
        <v>1767</v>
      </c>
      <c r="V223" t="s">
        <v>2195</v>
      </c>
      <c r="W223" s="3">
        <v>0.4</v>
      </c>
      <c r="X223" s="1" t="s">
        <v>1767</v>
      </c>
      <c r="Y223" t="s">
        <v>2183</v>
      </c>
      <c r="Z223" s="3">
        <v>0.27500000000000002</v>
      </c>
      <c r="AK223" t="s">
        <v>2179</v>
      </c>
      <c r="AL223" t="s">
        <v>56</v>
      </c>
      <c r="AM223">
        <v>0.5</v>
      </c>
    </row>
    <row r="224" spans="1:39" x14ac:dyDescent="0.35">
      <c r="A224" s="6" t="e">
        <f>IF('Coach Card'!$T$5="",IF($B$1="Solo",IF(L223="","",L223),IF($B$1="MSolo",IF(O223="","",O223),IF($B$1="Duet",IF(R223="","",R223),IF($B$1="Mixed",IF(U223="","",U223),IF(X223="","",X223))))),IF($B$1="Solo",IF(L723="","",L723),IF($B$1="MSolo",IF(L723="","",L723),IF($B$1="Duet",IF(O723="","",O723),IF($B$1="Mixed",IF(R723="","",R723),IF(U723="","",U723))))))</f>
        <v>#N/A</v>
      </c>
      <c r="B224" s="3" t="e">
        <f>IF('Coach Card'!$T$5="",IF($B$1="Solo",IF(M223="","",M223),IF($B$1="MSolo",IF(P223="","",P223),IF($B$1="Duet",IF(S223="","",S223),IF($B$1="Mixed",IF(V223="","",V223),IF(Y223="","",Y223))))),IF($B$1="Solo",IF(M723="","",M723),IF($B$1="MSolo",IF(M723="","",M723),IF($B$1="Duet",IF(P723="","",P723),IF($B$1="Mixed",IF(S723="","",S723),IF(V723="","",V723))))))</f>
        <v>#N/A</v>
      </c>
      <c r="C224" s="3" t="e">
        <f>IF('Coach Card'!$T$5="",IF($B$1="Solo",IF(N223="","",N223),IF($B$1="MSolo",IF(Q223="","",Q223),IF($B$1="Duet",IF(T223="","",T223),IF($B$1="Mixed",IF(W223="","",W223),IF(Z223="","",Z223))))),IF($B$1="Solo",IF(N723="","",N723),IF($B$1="MSolo",IF(N723="","",N723),IF($B$1="Duet",IF(Q723="","",Q723),IF($B$1="Mixed",IF(T723="","",T723),IF(W723="","",W723))))))</f>
        <v>#N/A</v>
      </c>
      <c r="D224" s="3" t="e">
        <f>IF('Coach Card'!$T$5="",IF($D$1="Team",IF(AG223="","",AG223),""),IF($D$1="Team",IF(AD723="","",AD723),""))</f>
        <v>#N/A</v>
      </c>
      <c r="E224" s="3" t="e">
        <f>IF('Coach Card'!$T$5="",IF($D$1="Team",IF(AH223="","",AH223),""),IF($D$1="Team",IF(AE723="","",AE723),""))</f>
        <v>#N/A</v>
      </c>
      <c r="O224" s="1"/>
      <c r="R224" s="1" t="s">
        <v>1767</v>
      </c>
      <c r="S224" t="s">
        <v>2196</v>
      </c>
      <c r="T224" s="3">
        <v>0.77500000000000002</v>
      </c>
      <c r="U224" s="1" t="s">
        <v>1767</v>
      </c>
      <c r="V224" t="s">
        <v>2196</v>
      </c>
      <c r="W224" s="3">
        <v>0.77500000000000002</v>
      </c>
      <c r="X224" s="1" t="s">
        <v>1767</v>
      </c>
      <c r="Y224" t="s">
        <v>2184</v>
      </c>
      <c r="Z224" s="3">
        <v>0.27500000000000002</v>
      </c>
      <c r="AK224" t="s">
        <v>2180</v>
      </c>
      <c r="AL224" t="s">
        <v>1661</v>
      </c>
      <c r="AM224">
        <v>0.5</v>
      </c>
    </row>
    <row r="225" spans="1:39" x14ac:dyDescent="0.35">
      <c r="A225" s="6" t="e">
        <f>IF('Coach Card'!$T$5="",IF($B$1="Solo",IF(L224="","",L224),IF($B$1="MSolo",IF(O224="","",O224),IF($B$1="Duet",IF(R224="","",R224),IF($B$1="Mixed",IF(U224="","",U224),IF(X224="","",X224))))),IF($B$1="Solo",IF(L724="","",L724),IF($B$1="MSolo",IF(L724="","",L724),IF($B$1="Duet",IF(O724="","",O724),IF($B$1="Mixed",IF(R724="","",R724),IF(U724="","",U724))))))</f>
        <v>#N/A</v>
      </c>
      <c r="B225" s="3" t="e">
        <f>IF('Coach Card'!$T$5="",IF($B$1="Solo",IF(M224="","",M224),IF($B$1="MSolo",IF(P224="","",P224),IF($B$1="Duet",IF(S224="","",S224),IF($B$1="Mixed",IF(V224="","",V224),IF(Y224="","",Y224))))),IF($B$1="Solo",IF(M724="","",M724),IF($B$1="MSolo",IF(M724="","",M724),IF($B$1="Duet",IF(P724="","",P724),IF($B$1="Mixed",IF(S724="","",S724),IF(V724="","",V724))))))</f>
        <v>#N/A</v>
      </c>
      <c r="C225" s="3" t="e">
        <f>IF('Coach Card'!$T$5="",IF($B$1="Solo",IF(N224="","",N224),IF($B$1="MSolo",IF(Q224="","",Q224),IF($B$1="Duet",IF(T224="","",T224),IF($B$1="Mixed",IF(W224="","",W224),IF(Z224="","",Z224))))),IF($B$1="Solo",IF(N724="","",N724),IF($B$1="MSolo",IF(N724="","",N724),IF($B$1="Duet",IF(Q724="","",Q724),IF($B$1="Mixed",IF(T724="","",T724),IF(W724="","",W724))))))</f>
        <v>#N/A</v>
      </c>
      <c r="D225" s="3" t="e">
        <f>IF('Coach Card'!$T$5="",IF($D$1="Team",IF(AG224="","",AG224),""),IF($D$1="Team",IF(AD724="","",AD724),""))</f>
        <v>#N/A</v>
      </c>
      <c r="E225" s="3" t="e">
        <f>IF('Coach Card'!$T$5="",IF($D$1="Team",IF(AH224="","",AH224),""),IF($D$1="Team",IF(AE724="","",AE724),""))</f>
        <v>#N/A</v>
      </c>
      <c r="O225" s="1"/>
      <c r="R225" s="1" t="s">
        <v>1767</v>
      </c>
      <c r="S225" t="s">
        <v>2197</v>
      </c>
      <c r="T225" s="3">
        <v>0.97499999999999998</v>
      </c>
      <c r="U225" s="1" t="s">
        <v>1767</v>
      </c>
      <c r="V225" t="s">
        <v>2197</v>
      </c>
      <c r="W225" s="3">
        <v>0.97499999999999998</v>
      </c>
      <c r="X225" s="1" t="s">
        <v>1767</v>
      </c>
      <c r="Y225" t="s">
        <v>2185</v>
      </c>
      <c r="Z225" s="3">
        <v>0.27500000000000002</v>
      </c>
      <c r="AK225" t="s">
        <v>2181</v>
      </c>
      <c r="AL225" t="s">
        <v>1662</v>
      </c>
      <c r="AM225">
        <v>0.5</v>
      </c>
    </row>
    <row r="226" spans="1:39" x14ac:dyDescent="0.35">
      <c r="A226" s="6" t="e">
        <f>IF('Coach Card'!$T$5="",IF($B$1="Solo",IF(L225="","",L225),IF($B$1="MSolo",IF(O225="","",O225),IF($B$1="Duet",IF(R225="","",R225),IF($B$1="Mixed",IF(U225="","",U225),IF(X225="","",X225))))),IF($B$1="Solo",IF(L725="","",L725),IF($B$1="MSolo",IF(L725="","",L725),IF($B$1="Duet",IF(O725="","",O725),IF($B$1="Mixed",IF(R725="","",R725),IF(U725="","",U725))))))</f>
        <v>#N/A</v>
      </c>
      <c r="B226" s="3" t="e">
        <f>IF('Coach Card'!$T$5="",IF($B$1="Solo",IF(M225="","",M225),IF($B$1="MSolo",IF(P225="","",P225),IF($B$1="Duet",IF(S225="","",S225),IF($B$1="Mixed",IF(V225="","",V225),IF(Y225="","",Y225))))),IF($B$1="Solo",IF(M725="","",M725),IF($B$1="MSolo",IF(M725="","",M725),IF($B$1="Duet",IF(P725="","",P725),IF($B$1="Mixed",IF(S725="","",S725),IF(V725="","",V725))))))</f>
        <v>#N/A</v>
      </c>
      <c r="C226" s="3" t="e">
        <f>IF('Coach Card'!$T$5="",IF($B$1="Solo",IF(N225="","",N225),IF($B$1="MSolo",IF(Q225="","",Q225),IF($B$1="Duet",IF(T225="","",T225),IF($B$1="Mixed",IF(W225="","",W225),IF(Z225="","",Z225))))),IF($B$1="Solo",IF(N725="","",N725),IF($B$1="MSolo",IF(N725="","",N725),IF($B$1="Duet",IF(Q725="","",Q725),IF($B$1="Mixed",IF(T725="","",T725),IF(W725="","",W725))))))</f>
        <v>#N/A</v>
      </c>
      <c r="D226" s="3" t="e">
        <f>IF('Coach Card'!$T$5="",IF($D$1="Team",IF(AG225="","",AG225),""),IF($D$1="Team",IF(AD725="","",AD725),""))</f>
        <v>#N/A</v>
      </c>
      <c r="E226" s="3" t="e">
        <f>IF('Coach Card'!$T$5="",IF($D$1="Team",IF(AH225="","",AH225),""),IF($D$1="Team",IF(AE725="","",AE725),""))</f>
        <v>#N/A</v>
      </c>
      <c r="O226" s="1"/>
      <c r="R226" s="1" t="s">
        <v>1767</v>
      </c>
      <c r="S226" t="s">
        <v>2198</v>
      </c>
      <c r="T226" s="3">
        <v>1.075</v>
      </c>
      <c r="U226" s="1" t="s">
        <v>1767</v>
      </c>
      <c r="V226" t="s">
        <v>2198</v>
      </c>
      <c r="W226" s="3">
        <v>1.075</v>
      </c>
      <c r="X226" s="1" t="s">
        <v>1767</v>
      </c>
      <c r="Y226" t="s">
        <v>2186</v>
      </c>
      <c r="Z226" s="3">
        <v>0.2</v>
      </c>
      <c r="AK226" t="s">
        <v>2182</v>
      </c>
      <c r="AL226" t="s">
        <v>1663</v>
      </c>
      <c r="AM226">
        <v>0.5</v>
      </c>
    </row>
    <row r="227" spans="1:39" x14ac:dyDescent="0.35">
      <c r="A227" s="6" t="e">
        <f>IF('Coach Card'!$T$5="",IF($B$1="Solo",IF(L226="","",L226),IF($B$1="MSolo",IF(O226="","",O226),IF($B$1="Duet",IF(R226="","",R226),IF($B$1="Mixed",IF(U226="","",U226),IF(X226="","",X226))))),IF($B$1="Solo",IF(L726="","",L726),IF($B$1="MSolo",IF(L726="","",L726),IF($B$1="Duet",IF(O726="","",O726),IF($B$1="Mixed",IF(R726="","",R726),IF(U726="","",U726))))))</f>
        <v>#N/A</v>
      </c>
      <c r="B227" s="3" t="e">
        <f>IF('Coach Card'!$T$5="",IF($B$1="Solo",IF(M226="","",M226),IF($B$1="MSolo",IF(P226="","",P226),IF($B$1="Duet",IF(S226="","",S226),IF($B$1="Mixed",IF(V226="","",V226),IF(Y226="","",Y226))))),IF($B$1="Solo",IF(M726="","",M726),IF($B$1="MSolo",IF(M726="","",M726),IF($B$1="Duet",IF(P726="","",P726),IF($B$1="Mixed",IF(S726="","",S726),IF(V726="","",V726))))))</f>
        <v>#N/A</v>
      </c>
      <c r="C227" s="3" t="e">
        <f>IF('Coach Card'!$T$5="",IF($B$1="Solo",IF(N226="","",N226),IF($B$1="MSolo",IF(Q226="","",Q226),IF($B$1="Duet",IF(T226="","",T226),IF($B$1="Mixed",IF(W226="","",W226),IF(Z226="","",Z226))))),IF($B$1="Solo",IF(N726="","",N726),IF($B$1="MSolo",IF(N726="","",N726),IF($B$1="Duet",IF(Q726="","",Q726),IF($B$1="Mixed",IF(T726="","",T726),IF(W726="","",W726))))))</f>
        <v>#N/A</v>
      </c>
      <c r="D227" s="3" t="e">
        <f>IF('Coach Card'!$T$5="",IF($D$1="Team",IF(AG226="","",AG226),""),IF($D$1="Team",IF(AD726="","",AD726),""))</f>
        <v>#N/A</v>
      </c>
      <c r="E227" s="3" t="e">
        <f>IF('Coach Card'!$T$5="",IF($D$1="Team",IF(AH226="","",AH226),""),IF($D$1="Team",IF(AE726="","",AE726),""))</f>
        <v>#N/A</v>
      </c>
      <c r="O227" s="1"/>
      <c r="R227" s="1" t="s">
        <v>1767</v>
      </c>
      <c r="S227" t="s">
        <v>2199</v>
      </c>
      <c r="T227" s="3">
        <v>1.175</v>
      </c>
      <c r="U227" s="1" t="s">
        <v>1767</v>
      </c>
      <c r="V227" t="s">
        <v>2199</v>
      </c>
      <c r="W227" s="3">
        <v>1.175</v>
      </c>
      <c r="X227" s="1" t="s">
        <v>1767</v>
      </c>
      <c r="Y227" t="s">
        <v>2187</v>
      </c>
      <c r="Z227" s="3">
        <v>0.375</v>
      </c>
      <c r="AK227" t="s">
        <v>2183</v>
      </c>
      <c r="AL227" t="s">
        <v>1664</v>
      </c>
      <c r="AM227">
        <v>0.5</v>
      </c>
    </row>
    <row r="228" spans="1:39" x14ac:dyDescent="0.35">
      <c r="A228" s="6" t="e">
        <f>IF('Coach Card'!$T$5="",IF($B$1="Solo",IF(L227="","",L227),IF($B$1="MSolo",IF(O227="","",O227),IF($B$1="Duet",IF(R227="","",R227),IF($B$1="Mixed",IF(U227="","",U227),IF(X227="","",X227))))),IF($B$1="Solo",IF(L727="","",L727),IF($B$1="MSolo",IF(L727="","",L727),IF($B$1="Duet",IF(O727="","",O727),IF($B$1="Mixed",IF(R727="","",R727),IF(U727="","",U727))))))</f>
        <v>#N/A</v>
      </c>
      <c r="B228" s="3" t="e">
        <f>IF('Coach Card'!$T$5="",IF($B$1="Solo",IF(M227="","",M227),IF($B$1="MSolo",IF(P227="","",P227),IF($B$1="Duet",IF(S227="","",S227),IF($B$1="Mixed",IF(V227="","",V227),IF(Y227="","",Y227))))),IF($B$1="Solo",IF(M727="","",M727),IF($B$1="MSolo",IF(M727="","",M727),IF($B$1="Duet",IF(P727="","",P727),IF($B$1="Mixed",IF(S727="","",S727),IF(V727="","",V727))))))</f>
        <v>#N/A</v>
      </c>
      <c r="C228" s="3" t="e">
        <f>IF('Coach Card'!$T$5="",IF($B$1="Solo",IF(N227="","",N227),IF($B$1="MSolo",IF(Q227="","",Q227),IF($B$1="Duet",IF(T227="","",T227),IF($B$1="Mixed",IF(W227="","",W227),IF(Z227="","",Z227))))),IF($B$1="Solo",IF(N727="","",N727),IF($B$1="MSolo",IF(N727="","",N727),IF($B$1="Duet",IF(Q727="","",Q727),IF($B$1="Mixed",IF(T727="","",T727),IF(W727="","",W727))))))</f>
        <v>#N/A</v>
      </c>
      <c r="D228" s="3" t="e">
        <f>IF('Coach Card'!$T$5="",IF($D$1="Team",IF(AG227="","",AG227),""),IF($D$1="Team",IF(AD727="","",AD727),""))</f>
        <v>#N/A</v>
      </c>
      <c r="E228" s="3" t="e">
        <f>IF('Coach Card'!$T$5="",IF($D$1="Team",IF(AH227="","",AH227),""),IF($D$1="Team",IF(AE727="","",AE727),""))</f>
        <v>#N/A</v>
      </c>
      <c r="O228" s="1"/>
      <c r="R228" s="1" t="s">
        <v>1767</v>
      </c>
      <c r="S228" t="s">
        <v>2200</v>
      </c>
      <c r="T228" s="3">
        <v>0.97499999999999998</v>
      </c>
      <c r="U228" s="1" t="s">
        <v>1767</v>
      </c>
      <c r="V228" t="s">
        <v>2200</v>
      </c>
      <c r="W228" s="3">
        <v>0.97499999999999998</v>
      </c>
      <c r="X228" s="1" t="s">
        <v>1767</v>
      </c>
      <c r="Y228" t="s">
        <v>2188</v>
      </c>
      <c r="Z228" s="3">
        <v>0.47499999999999998</v>
      </c>
      <c r="AK228" t="s">
        <v>2184</v>
      </c>
      <c r="AL228" t="s">
        <v>1665</v>
      </c>
      <c r="AM228">
        <v>0.5</v>
      </c>
    </row>
    <row r="229" spans="1:39" x14ac:dyDescent="0.35">
      <c r="A229" s="6" t="e">
        <f>IF('Coach Card'!$T$5="",IF($B$1="Solo",IF(L228="","",L228),IF($B$1="MSolo",IF(O228="","",O228),IF($B$1="Duet",IF(R228="","",R228),IF($B$1="Mixed",IF(U228="","",U228),IF(X228="","",X228))))),IF($B$1="Solo",IF(L728="","",L728),IF($B$1="MSolo",IF(L728="","",L728),IF($B$1="Duet",IF(O728="","",O728),IF($B$1="Mixed",IF(R728="","",R728),IF(U728="","",U728))))))</f>
        <v>#N/A</v>
      </c>
      <c r="B229" s="3" t="e">
        <f>IF('Coach Card'!$T$5="",IF($B$1="Solo",IF(M228="","",M228),IF($B$1="MSolo",IF(P228="","",P228),IF($B$1="Duet",IF(S228="","",S228),IF($B$1="Mixed",IF(V228="","",V228),IF(Y228="","",Y228))))),IF($B$1="Solo",IF(M728="","",M728),IF($B$1="MSolo",IF(M728="","",M728),IF($B$1="Duet",IF(P728="","",P728),IF($B$1="Mixed",IF(S728="","",S728),IF(V728="","",V728))))))</f>
        <v>#N/A</v>
      </c>
      <c r="C229" s="3" t="e">
        <f>IF('Coach Card'!$T$5="",IF($B$1="Solo",IF(N228="","",N228),IF($B$1="MSolo",IF(Q228="","",Q228),IF($B$1="Duet",IF(T228="","",T228),IF($B$1="Mixed",IF(W228="","",W228),IF(Z228="","",Z228))))),IF($B$1="Solo",IF(N728="","",N728),IF($B$1="MSolo",IF(N728="","",N728),IF($B$1="Duet",IF(Q728="","",Q728),IF($B$1="Mixed",IF(T728="","",T728),IF(W728="","",W728))))))</f>
        <v>#N/A</v>
      </c>
      <c r="D229" s="3" t="e">
        <f>IF('Coach Card'!$T$5="",IF($D$1="Team",IF(AG228="","",AG228),""),IF($D$1="Team",IF(AD728="","",AD728),""))</f>
        <v>#N/A</v>
      </c>
      <c r="E229" s="3" t="e">
        <f>IF('Coach Card'!$T$5="",IF($D$1="Team",IF(AH228="","",AH228),""),IF($D$1="Team",IF(AE728="","",AE728),""))</f>
        <v>#N/A</v>
      </c>
      <c r="O229" s="1"/>
      <c r="R229" s="1" t="s">
        <v>1767</v>
      </c>
      <c r="S229" t="s">
        <v>2201</v>
      </c>
      <c r="T229" s="3">
        <v>1.2250000000000001</v>
      </c>
      <c r="U229" s="1" t="s">
        <v>1767</v>
      </c>
      <c r="V229" t="s">
        <v>2201</v>
      </c>
      <c r="W229" s="3">
        <v>1.2250000000000001</v>
      </c>
      <c r="X229" s="1" t="s">
        <v>1767</v>
      </c>
      <c r="Y229" t="s">
        <v>2189</v>
      </c>
      <c r="Z229" s="3">
        <v>0.52500000000000002</v>
      </c>
      <c r="AK229" t="s">
        <v>2185</v>
      </c>
      <c r="AL229" t="s">
        <v>1666</v>
      </c>
      <c r="AM229">
        <v>0.5</v>
      </c>
    </row>
    <row r="230" spans="1:39" x14ac:dyDescent="0.35">
      <c r="A230" s="6" t="e">
        <f>IF('Coach Card'!$T$5="",IF($B$1="Solo",IF(L229="","",L229),IF($B$1="MSolo",IF(O229="","",O229),IF($B$1="Duet",IF(R229="","",R229),IF($B$1="Mixed",IF(U229="","",U229),IF(X229="","",X229))))),IF($B$1="Solo",IF(L729="","",L729),IF($B$1="MSolo",IF(L729="","",L729),IF($B$1="Duet",IF(O729="","",O729),IF($B$1="Mixed",IF(R729="","",R729),IF(U729="","",U729))))))</f>
        <v>#N/A</v>
      </c>
      <c r="B230" s="3" t="e">
        <f>IF('Coach Card'!$T$5="",IF($B$1="Solo",IF(M229="","",M229),IF($B$1="MSolo",IF(P229="","",P229),IF($B$1="Duet",IF(S229="","",S229),IF($B$1="Mixed",IF(V229="","",V229),IF(Y229="","",Y229))))),IF($B$1="Solo",IF(M729="","",M729),IF($B$1="MSolo",IF(M729="","",M729),IF($B$1="Duet",IF(P729="","",P729),IF($B$1="Mixed",IF(S729="","",S729),IF(V729="","",V729))))))</f>
        <v>#N/A</v>
      </c>
      <c r="C230" s="3" t="e">
        <f>IF('Coach Card'!$T$5="",IF($B$1="Solo",IF(N229="","",N229),IF($B$1="MSolo",IF(Q229="","",Q229),IF($B$1="Duet",IF(T229="","",T229),IF($B$1="Mixed",IF(W229="","",W229),IF(Z229="","",Z229))))),IF($B$1="Solo",IF(N729="","",N729),IF($B$1="MSolo",IF(N729="","",N729),IF($B$1="Duet",IF(Q729="","",Q729),IF($B$1="Mixed",IF(T729="","",T729),IF(W729="","",W729))))))</f>
        <v>#N/A</v>
      </c>
      <c r="D230" s="3" t="e">
        <f>IF('Coach Card'!$T$5="",IF($D$1="Team",IF(AG229="","",AG229),""),IF($D$1="Team",IF(AD729="","",AD729),""))</f>
        <v>#N/A</v>
      </c>
      <c r="E230" s="3" t="e">
        <f>IF('Coach Card'!$T$5="",IF($D$1="Team",IF(AH229="","",AH229),""),IF($D$1="Team",IF(AE729="","",AE729),""))</f>
        <v>#N/A</v>
      </c>
      <c r="O230" s="1"/>
      <c r="R230" s="1" t="s">
        <v>1767</v>
      </c>
      <c r="S230" t="s">
        <v>2202</v>
      </c>
      <c r="T230" s="3">
        <v>1.4750000000000001</v>
      </c>
      <c r="U230" s="1" t="s">
        <v>1767</v>
      </c>
      <c r="V230" t="s">
        <v>2202</v>
      </c>
      <c r="W230" s="3">
        <v>1.4750000000000001</v>
      </c>
      <c r="X230" s="1" t="s">
        <v>1767</v>
      </c>
      <c r="Y230" t="s">
        <v>2190</v>
      </c>
      <c r="Z230" s="3">
        <v>0.57499999999999996</v>
      </c>
      <c r="AK230" t="s">
        <v>2186</v>
      </c>
      <c r="AL230" t="s">
        <v>57</v>
      </c>
      <c r="AM230">
        <v>0.5</v>
      </c>
    </row>
    <row r="231" spans="1:39" x14ac:dyDescent="0.35">
      <c r="A231" s="6" t="e">
        <f>IF('Coach Card'!$T$5="",IF($B$1="Solo",IF(L230="","",L230),IF($B$1="MSolo",IF(O230="","",O230),IF($B$1="Duet",IF(R230="","",R230),IF($B$1="Mixed",IF(U230="","",U230),IF(X230="","",X230))))),IF($B$1="Solo",IF(L730="","",L730),IF($B$1="MSolo",IF(L730="","",L730),IF($B$1="Duet",IF(O730="","",O730),IF($B$1="Mixed",IF(R730="","",R730),IF(U730="","",U730))))))</f>
        <v>#N/A</v>
      </c>
      <c r="B231" s="3" t="e">
        <f>IF('Coach Card'!$T$5="",IF($B$1="Solo",IF(M230="","",M230),IF($B$1="MSolo",IF(P230="","",P230),IF($B$1="Duet",IF(S230="","",S230),IF($B$1="Mixed",IF(V230="","",V230),IF(Y230="","",Y230))))),IF($B$1="Solo",IF(M730="","",M730),IF($B$1="MSolo",IF(M730="","",M730),IF($B$1="Duet",IF(P730="","",P730),IF($B$1="Mixed",IF(S730="","",S730),IF(V730="","",V730))))))</f>
        <v>#N/A</v>
      </c>
      <c r="C231" s="3" t="e">
        <f>IF('Coach Card'!$T$5="",IF($B$1="Solo",IF(N230="","",N230),IF($B$1="MSolo",IF(Q230="","",Q230),IF($B$1="Duet",IF(T230="","",T230),IF($B$1="Mixed",IF(W230="","",W230),IF(Z230="","",Z230))))),IF($B$1="Solo",IF(N730="","",N730),IF($B$1="MSolo",IF(N730="","",N730),IF($B$1="Duet",IF(Q730="","",Q730),IF($B$1="Mixed",IF(T730="","",T730),IF(W730="","",W730))))))</f>
        <v>#N/A</v>
      </c>
      <c r="D231" s="3" t="e">
        <f>IF('Coach Card'!$T$5="",IF($D$1="Team",IF(AG230="","",AG230),""),IF($D$1="Team",IF(AD730="","",AD730),""))</f>
        <v>#N/A</v>
      </c>
      <c r="E231" s="3" t="e">
        <f>IF('Coach Card'!$T$5="",IF($D$1="Team",IF(AH230="","",AH230),""),IF($D$1="Team",IF(AE730="","",AE730),""))</f>
        <v>#N/A</v>
      </c>
      <c r="O231" s="1"/>
      <c r="R231" s="1" t="s">
        <v>1767</v>
      </c>
      <c r="S231" t="s">
        <v>2203</v>
      </c>
      <c r="T231" s="3">
        <v>1.175</v>
      </c>
      <c r="U231" s="1" t="s">
        <v>1767</v>
      </c>
      <c r="V231" t="s">
        <v>2203</v>
      </c>
      <c r="W231" s="3">
        <v>1.175</v>
      </c>
      <c r="X231" s="1" t="s">
        <v>1767</v>
      </c>
      <c r="Y231" t="s">
        <v>2191</v>
      </c>
      <c r="Z231" s="3">
        <v>0.3</v>
      </c>
      <c r="AK231" t="s">
        <v>2187</v>
      </c>
      <c r="AL231" t="s">
        <v>1667</v>
      </c>
      <c r="AM231">
        <v>0.5</v>
      </c>
    </row>
    <row r="232" spans="1:39" x14ac:dyDescent="0.35">
      <c r="A232" s="6" t="e">
        <f>IF('Coach Card'!$T$5="",IF($B$1="Solo",IF(L231="","",L231),IF($B$1="MSolo",IF(O231="","",O231),IF($B$1="Duet",IF(R231="","",R231),IF($B$1="Mixed",IF(U231="","",U231),IF(X231="","",X231))))),IF($B$1="Solo",IF(L731="","",L731),IF($B$1="MSolo",IF(L731="","",L731),IF($B$1="Duet",IF(O731="","",O731),IF($B$1="Mixed",IF(R731="","",R731),IF(U731="","",U731))))))</f>
        <v>#N/A</v>
      </c>
      <c r="B232" s="3" t="e">
        <f>IF('Coach Card'!$T$5="",IF($B$1="Solo",IF(M231="","",M231),IF($B$1="MSolo",IF(P231="","",P231),IF($B$1="Duet",IF(S231="","",S231),IF($B$1="Mixed",IF(V231="","",V231),IF(Y231="","",Y231))))),IF($B$1="Solo",IF(M731="","",M731),IF($B$1="MSolo",IF(M731="","",M731),IF($B$1="Duet",IF(P731="","",P731),IF($B$1="Mixed",IF(S731="","",S731),IF(V731="","",V731))))))</f>
        <v>#N/A</v>
      </c>
      <c r="C232" s="3" t="e">
        <f>IF('Coach Card'!$T$5="",IF($B$1="Solo",IF(N231="","",N231),IF($B$1="MSolo",IF(Q231="","",Q231),IF($B$1="Duet",IF(T231="","",T231),IF($B$1="Mixed",IF(W231="","",W231),IF(Z231="","",Z231))))),IF($B$1="Solo",IF(N731="","",N731),IF($B$1="MSolo",IF(N731="","",N731),IF($B$1="Duet",IF(Q731="","",Q731),IF($B$1="Mixed",IF(T731="","",T731),IF(W731="","",W731))))))</f>
        <v>#N/A</v>
      </c>
      <c r="D232" s="3" t="e">
        <f>IF('Coach Card'!$T$5="",IF($D$1="Team",IF(AG231="","",AG231),""),IF($D$1="Team",IF(AD731="","",AD731),""))</f>
        <v>#N/A</v>
      </c>
      <c r="E232" s="3" t="e">
        <f>IF('Coach Card'!$T$5="",IF($D$1="Team",IF(AH231="","",AH231),""),IF($D$1="Team",IF(AE731="","",AE731),""))</f>
        <v>#N/A</v>
      </c>
      <c r="O232" s="1"/>
      <c r="R232" s="1" t="s">
        <v>1767</v>
      </c>
      <c r="S232" t="s">
        <v>2204</v>
      </c>
      <c r="T232" s="3">
        <v>1.4750000000000001</v>
      </c>
      <c r="U232" s="1" t="s">
        <v>1767</v>
      </c>
      <c r="V232" t="s">
        <v>2204</v>
      </c>
      <c r="W232" s="3">
        <v>1.4750000000000001</v>
      </c>
      <c r="X232" s="1" t="s">
        <v>1767</v>
      </c>
      <c r="Y232" t="s">
        <v>2192</v>
      </c>
      <c r="Z232" s="3">
        <v>0.57499999999999996</v>
      </c>
      <c r="AK232" t="s">
        <v>2188</v>
      </c>
      <c r="AL232" t="s">
        <v>1668</v>
      </c>
      <c r="AM232">
        <v>0.5</v>
      </c>
    </row>
    <row r="233" spans="1:39" x14ac:dyDescent="0.35">
      <c r="A233" s="6" t="e">
        <f>IF('Coach Card'!$T$5="",IF($B$1="Solo",IF(L232="","",L232),IF($B$1="MSolo",IF(O232="","",O232),IF($B$1="Duet",IF(R232="","",R232),IF($B$1="Mixed",IF(U232="","",U232),IF(X232="","",X232))))),IF($B$1="Solo",IF(L732="","",L732),IF($B$1="MSolo",IF(L732="","",L732),IF($B$1="Duet",IF(O732="","",O732),IF($B$1="Mixed",IF(R732="","",R732),IF(U732="","",U732))))))</f>
        <v>#N/A</v>
      </c>
      <c r="B233" s="3" t="e">
        <f>IF('Coach Card'!$T$5="",IF($B$1="Solo",IF(M232="","",M232),IF($B$1="MSolo",IF(P232="","",P232),IF($B$1="Duet",IF(S232="","",S232),IF($B$1="Mixed",IF(V232="","",V232),IF(Y232="","",Y232))))),IF($B$1="Solo",IF(M732="","",M732),IF($B$1="MSolo",IF(M732="","",M732),IF($B$1="Duet",IF(P732="","",P732),IF($B$1="Mixed",IF(S732="","",S732),IF(V732="","",V732))))))</f>
        <v>#N/A</v>
      </c>
      <c r="C233" s="3" t="e">
        <f>IF('Coach Card'!$T$5="",IF($B$1="Solo",IF(N232="","",N232),IF($B$1="MSolo",IF(Q232="","",Q232),IF($B$1="Duet",IF(T232="","",T232),IF($B$1="Mixed",IF(W232="","",W232),IF(Z232="","",Z232))))),IF($B$1="Solo",IF(N732="","",N732),IF($B$1="MSolo",IF(N732="","",N732),IF($B$1="Duet",IF(Q732="","",Q732),IF($B$1="Mixed",IF(T732="","",T732),IF(W732="","",W732))))))</f>
        <v>#N/A</v>
      </c>
      <c r="D233" s="3" t="e">
        <f>IF('Coach Card'!$T$5="",IF($D$1="Team",IF(AG232="","",AG232),""),IF($D$1="Team",IF(AD732="","",AD732),""))</f>
        <v>#N/A</v>
      </c>
      <c r="E233" s="3" t="e">
        <f>IF('Coach Card'!$T$5="",IF($D$1="Team",IF(AH232="","",AH232),""),IF($D$1="Team",IF(AE732="","",AE732),""))</f>
        <v>#N/A</v>
      </c>
      <c r="O233" s="1"/>
      <c r="R233" s="1" t="s">
        <v>1767</v>
      </c>
      <c r="S233" t="s">
        <v>2205</v>
      </c>
      <c r="T233" s="3">
        <v>1.675</v>
      </c>
      <c r="U233" s="1" t="s">
        <v>1767</v>
      </c>
      <c r="V233" t="s">
        <v>2205</v>
      </c>
      <c r="W233" s="3">
        <v>1.675</v>
      </c>
      <c r="X233" s="1" t="s">
        <v>1767</v>
      </c>
      <c r="Y233" t="s">
        <v>2193</v>
      </c>
      <c r="Z233" s="3">
        <v>0.72499999999999998</v>
      </c>
      <c r="AK233" t="s">
        <v>2189</v>
      </c>
      <c r="AL233" t="s">
        <v>1669</v>
      </c>
      <c r="AM233">
        <v>0.5</v>
      </c>
    </row>
    <row r="234" spans="1:39" x14ac:dyDescent="0.35">
      <c r="A234" s="6" t="e">
        <f>IF('Coach Card'!$T$5="",IF($B$1="Solo",IF(L233="","",L233),IF($B$1="MSolo",IF(O233="","",O233),IF($B$1="Duet",IF(R233="","",R233),IF($B$1="Mixed",IF(U233="","",U233),IF(X233="","",X233))))),IF($B$1="Solo",IF(L733="","",L733),IF($B$1="MSolo",IF(L733="","",L733),IF($B$1="Duet",IF(O733="","",O733),IF($B$1="Mixed",IF(R733="","",R733),IF(U733="","",U733))))))</f>
        <v>#N/A</v>
      </c>
      <c r="B234" s="3" t="e">
        <f>IF('Coach Card'!$T$5="",IF($B$1="Solo",IF(M233="","",M233),IF($B$1="MSolo",IF(P233="","",P233),IF($B$1="Duet",IF(S233="","",S233),IF($B$1="Mixed",IF(V233="","",V233),IF(Y233="","",Y233))))),IF($B$1="Solo",IF(M733="","",M733),IF($B$1="MSolo",IF(M733="","",M733),IF($B$1="Duet",IF(P733="","",P733),IF($B$1="Mixed",IF(S733="","",S733),IF(V733="","",V733))))))</f>
        <v>#N/A</v>
      </c>
      <c r="C234" s="3" t="e">
        <f>IF('Coach Card'!$T$5="",IF($B$1="Solo",IF(N233="","",N233),IF($B$1="MSolo",IF(Q233="","",Q233),IF($B$1="Duet",IF(T233="","",T233),IF($B$1="Mixed",IF(W233="","",W233),IF(Z233="","",Z233))))),IF($B$1="Solo",IF(N733="","",N733),IF($B$1="MSolo",IF(N733="","",N733),IF($B$1="Duet",IF(Q733="","",Q733),IF($B$1="Mixed",IF(T733="","",T733),IF(W733="","",W733))))))</f>
        <v>#N/A</v>
      </c>
      <c r="D234" s="3" t="e">
        <f>IF('Coach Card'!$T$5="",IF($D$1="Team",IF(AG233="","",AG233),""),IF($D$1="Team",IF(AD733="","",AD733),""))</f>
        <v>#N/A</v>
      </c>
      <c r="E234" s="3" t="e">
        <f>IF('Coach Card'!$T$5="",IF($D$1="Team",IF(AH233="","",AH233),""),IF($D$1="Team",IF(AE733="","",AE733),""))</f>
        <v>#N/A</v>
      </c>
      <c r="O234" s="1"/>
      <c r="R234" s="1" t="s">
        <v>1767</v>
      </c>
      <c r="S234" t="s">
        <v>2206</v>
      </c>
      <c r="T234" s="3">
        <v>1.7749999999999999</v>
      </c>
      <c r="U234" s="1" t="s">
        <v>1767</v>
      </c>
      <c r="V234" t="s">
        <v>2206</v>
      </c>
      <c r="W234" s="3">
        <v>1.7749999999999999</v>
      </c>
      <c r="X234" s="1" t="s">
        <v>1767</v>
      </c>
      <c r="Y234" t="s">
        <v>2194</v>
      </c>
      <c r="Z234" s="3">
        <v>0.875</v>
      </c>
      <c r="AK234" t="s">
        <v>2190</v>
      </c>
      <c r="AL234" t="s">
        <v>1670</v>
      </c>
      <c r="AM234">
        <v>0.5</v>
      </c>
    </row>
    <row r="235" spans="1:39" x14ac:dyDescent="0.35">
      <c r="A235" s="6" t="e">
        <f>IF('Coach Card'!$T$5="",IF($B$1="Solo",IF(L234="","",L234),IF($B$1="MSolo",IF(O234="","",O234),IF($B$1="Duet",IF(R234="","",R234),IF($B$1="Mixed",IF(U234="","",U234),IF(X234="","",X234))))),IF($B$1="Solo",IF(L734="","",L734),IF($B$1="MSolo",IF(L734="","",L734),IF($B$1="Duet",IF(O734="","",O734),IF($B$1="Mixed",IF(R734="","",R734),IF(U734="","",U734))))))</f>
        <v>#N/A</v>
      </c>
      <c r="B235" s="3" t="e">
        <f>IF('Coach Card'!$T$5="",IF($B$1="Solo",IF(M234="","",M234),IF($B$1="MSolo",IF(P234="","",P234),IF($B$1="Duet",IF(S234="","",S234),IF($B$1="Mixed",IF(V234="","",V234),IF(Y234="","",Y234))))),IF($B$1="Solo",IF(M734="","",M734),IF($B$1="MSolo",IF(M734="","",M734),IF($B$1="Duet",IF(P734="","",P734),IF($B$1="Mixed",IF(S734="","",S734),IF(V734="","",V734))))))</f>
        <v>#N/A</v>
      </c>
      <c r="C235" s="3" t="e">
        <f>IF('Coach Card'!$T$5="",IF($B$1="Solo",IF(N234="","",N234),IF($B$1="MSolo",IF(Q234="","",Q234),IF($B$1="Duet",IF(T234="","",T234),IF($B$1="Mixed",IF(W234="","",W234),IF(Z234="","",Z234))))),IF($B$1="Solo",IF(N734="","",N734),IF($B$1="MSolo",IF(N734="","",N734),IF($B$1="Duet",IF(Q734="","",Q734),IF($B$1="Mixed",IF(T734="","",T734),IF(W734="","",W734))))))</f>
        <v>#N/A</v>
      </c>
      <c r="D235" s="3" t="e">
        <f>IF('Coach Card'!$T$5="",IF($D$1="Team",IF(AG234="","",AG234),""),IF($D$1="Team",IF(AD734="","",AD734),""))</f>
        <v>#N/A</v>
      </c>
      <c r="E235" s="3" t="e">
        <f>IF('Coach Card'!$T$5="",IF($D$1="Team",IF(AH234="","",AH234),""),IF($D$1="Team",IF(AE734="","",AE734),""))</f>
        <v>#N/A</v>
      </c>
      <c r="O235" s="1"/>
      <c r="R235" s="1" t="s">
        <v>1767</v>
      </c>
      <c r="S235" t="s">
        <v>2207</v>
      </c>
      <c r="T235" s="3">
        <v>1.7250000000000001</v>
      </c>
      <c r="U235" s="1" t="s">
        <v>1767</v>
      </c>
      <c r="V235" t="s">
        <v>2207</v>
      </c>
      <c r="W235" s="3">
        <v>1.7250000000000001</v>
      </c>
      <c r="X235" s="1" t="s">
        <v>1767</v>
      </c>
      <c r="Y235" t="s">
        <v>2195</v>
      </c>
      <c r="Z235" s="3">
        <v>0.4</v>
      </c>
      <c r="AK235" t="s">
        <v>2191</v>
      </c>
      <c r="AL235" t="s">
        <v>58</v>
      </c>
      <c r="AM235">
        <v>0.5</v>
      </c>
    </row>
    <row r="236" spans="1:39" x14ac:dyDescent="0.35">
      <c r="A236" s="6" t="e">
        <f>IF('Coach Card'!$T$5="",IF($B$1="Solo",IF(L235="","",L235),IF($B$1="MSolo",IF(O235="","",O235),IF($B$1="Duet",IF(R235="","",R235),IF($B$1="Mixed",IF(U235="","",U235),IF(X235="","",X235))))),IF($B$1="Solo",IF(L735="","",L735),IF($B$1="MSolo",IF(L735="","",L735),IF($B$1="Duet",IF(O735="","",O735),IF($B$1="Mixed",IF(R735="","",R735),IF(U735="","",U735))))))</f>
        <v>#N/A</v>
      </c>
      <c r="B236" s="3" t="e">
        <f>IF('Coach Card'!$T$5="",IF($B$1="Solo",IF(M235="","",M235),IF($B$1="MSolo",IF(P235="","",P235),IF($B$1="Duet",IF(S235="","",S235),IF($B$1="Mixed",IF(V235="","",V235),IF(Y235="","",Y235))))),IF($B$1="Solo",IF(M735="","",M735),IF($B$1="MSolo",IF(M735="","",M735),IF($B$1="Duet",IF(P735="","",P735),IF($B$1="Mixed",IF(S735="","",S735),IF(V735="","",V735))))))</f>
        <v>#N/A</v>
      </c>
      <c r="C236" s="3" t="e">
        <f>IF('Coach Card'!$T$5="",IF($B$1="Solo",IF(N235="","",N235),IF($B$1="MSolo",IF(Q235="","",Q235),IF($B$1="Duet",IF(T235="","",T235),IF($B$1="Mixed",IF(W235="","",W235),IF(Z235="","",Z235))))),IF($B$1="Solo",IF(N735="","",N735),IF($B$1="MSolo",IF(N735="","",N735),IF($B$1="Duet",IF(Q735="","",Q735),IF($B$1="Mixed",IF(T735="","",T735),IF(W735="","",W735))))))</f>
        <v>#N/A</v>
      </c>
      <c r="D236" s="3" t="e">
        <f>IF('Coach Card'!$T$5="",IF($D$1="Team",IF(AG235="","",AG235),""),IF($D$1="Team",IF(AD735="","",AD735),""))</f>
        <v>#N/A</v>
      </c>
      <c r="E236" s="3" t="e">
        <f>IF('Coach Card'!$T$5="",IF($D$1="Team",IF(AH235="","",AH235),""),IF($D$1="Team",IF(AE735="","",AE735),""))</f>
        <v>#N/A</v>
      </c>
      <c r="O236" s="1"/>
      <c r="R236" s="1" t="s">
        <v>1767</v>
      </c>
      <c r="S236" t="s">
        <v>2208</v>
      </c>
      <c r="T236" s="3">
        <v>2.0750000000000002</v>
      </c>
      <c r="U236" s="1" t="s">
        <v>1767</v>
      </c>
      <c r="V236" t="s">
        <v>2208</v>
      </c>
      <c r="W236" s="3">
        <v>2.0750000000000002</v>
      </c>
      <c r="X236" s="1" t="s">
        <v>1767</v>
      </c>
      <c r="Y236" t="s">
        <v>2196</v>
      </c>
      <c r="Z236" s="3">
        <v>0.77500000000000002</v>
      </c>
      <c r="AK236" t="s">
        <v>2192</v>
      </c>
      <c r="AL236" t="s">
        <v>1671</v>
      </c>
      <c r="AM236">
        <v>0.5</v>
      </c>
    </row>
    <row r="237" spans="1:39" x14ac:dyDescent="0.35">
      <c r="A237" s="6" t="e">
        <f>IF('Coach Card'!$T$5="",IF($B$1="Solo",IF(L236="","",L236),IF($B$1="MSolo",IF(O236="","",O236),IF($B$1="Duet",IF(R236="","",R236),IF($B$1="Mixed",IF(U236="","",U236),IF(X236="","",X236))))),IF($B$1="Solo",IF(L736="","",L736),IF($B$1="MSolo",IF(L736="","",L736),IF($B$1="Duet",IF(O736="","",O736),IF($B$1="Mixed",IF(R736="","",R736),IF(U736="","",U736))))))</f>
        <v>#N/A</v>
      </c>
      <c r="B237" s="3" t="e">
        <f>IF('Coach Card'!$T$5="",IF($B$1="Solo",IF(M236="","",M236),IF($B$1="MSolo",IF(P236="","",P236),IF($B$1="Duet",IF(S236="","",S236),IF($B$1="Mixed",IF(V236="","",V236),IF(Y236="","",Y236))))),IF($B$1="Solo",IF(M736="","",M736),IF($B$1="MSolo",IF(M736="","",M736),IF($B$1="Duet",IF(P736="","",P736),IF($B$1="Mixed",IF(S736="","",S736),IF(V736="","",V736))))))</f>
        <v>#N/A</v>
      </c>
      <c r="C237" s="3" t="e">
        <f>IF('Coach Card'!$T$5="",IF($B$1="Solo",IF(N236="","",N236),IF($B$1="MSolo",IF(Q236="","",Q236),IF($B$1="Duet",IF(T236="","",T236),IF($B$1="Mixed",IF(W236="","",W236),IF(Z236="","",Z236))))),IF($B$1="Solo",IF(N736="","",N736),IF($B$1="MSolo",IF(N736="","",N736),IF($B$1="Duet",IF(Q736="","",Q736),IF($B$1="Mixed",IF(T736="","",T736),IF(W736="","",W736))))))</f>
        <v>#N/A</v>
      </c>
      <c r="D237" s="3" t="e">
        <f>IF('Coach Card'!$T$5="",IF($D$1="Team",IF(AG236="","",AG236),""),IF($D$1="Team",IF(AD736="","",AD736),""))</f>
        <v>#N/A</v>
      </c>
      <c r="E237" s="3" t="e">
        <f>IF('Coach Card'!$T$5="",IF($D$1="Team",IF(AH236="","",AH236),""),IF($D$1="Team",IF(AE736="","",AE736),""))</f>
        <v>#N/A</v>
      </c>
      <c r="O237" s="1"/>
      <c r="R237" s="1" t="s">
        <v>1767</v>
      </c>
      <c r="S237" t="s">
        <v>2209</v>
      </c>
      <c r="T237" s="3">
        <v>1.9750000000000001</v>
      </c>
      <c r="U237" s="1" t="s">
        <v>1767</v>
      </c>
      <c r="V237" t="s">
        <v>2209</v>
      </c>
      <c r="W237" s="3">
        <v>1.9750000000000001</v>
      </c>
      <c r="X237" s="1" t="s">
        <v>1767</v>
      </c>
      <c r="Y237" t="s">
        <v>2197</v>
      </c>
      <c r="Z237" s="3">
        <v>0.97499999999999998</v>
      </c>
      <c r="AK237" t="s">
        <v>2193</v>
      </c>
      <c r="AL237" t="s">
        <v>1672</v>
      </c>
      <c r="AM237">
        <v>0.5</v>
      </c>
    </row>
    <row r="238" spans="1:39" x14ac:dyDescent="0.35">
      <c r="A238" s="6" t="e">
        <f>IF('Coach Card'!$T$5="",IF($B$1="Solo",IF(L237="","",L237),IF($B$1="MSolo",IF(O237="","",O237),IF($B$1="Duet",IF(R237="","",R237),IF($B$1="Mixed",IF(U237="","",U237),IF(X237="","",X237))))),IF($B$1="Solo",IF(L737="","",L737),IF($B$1="MSolo",IF(L737="","",L737),IF($B$1="Duet",IF(O737="","",O737),IF($B$1="Mixed",IF(R737="","",R737),IF(U737="","",U737))))))</f>
        <v>#N/A</v>
      </c>
      <c r="B238" s="3" t="e">
        <f>IF('Coach Card'!$T$5="",IF($B$1="Solo",IF(M237="","",M237),IF($B$1="MSolo",IF(P237="","",P237),IF($B$1="Duet",IF(S237="","",S237),IF($B$1="Mixed",IF(V237="","",V237),IF(Y237="","",Y237))))),IF($B$1="Solo",IF(M737="","",M737),IF($B$1="MSolo",IF(M737="","",M737),IF($B$1="Duet",IF(P737="","",P737),IF($B$1="Mixed",IF(S737="","",S737),IF(V737="","",V737))))))</f>
        <v>#N/A</v>
      </c>
      <c r="C238" s="3" t="e">
        <f>IF('Coach Card'!$T$5="",IF($B$1="Solo",IF(N237="","",N237),IF($B$1="MSolo",IF(Q237="","",Q237),IF($B$1="Duet",IF(T237="","",T237),IF($B$1="Mixed",IF(W237="","",W237),IF(Z237="","",Z237))))),IF($B$1="Solo",IF(N737="","",N737),IF($B$1="MSolo",IF(N737="","",N737),IF($B$1="Duet",IF(Q737="","",Q737),IF($B$1="Mixed",IF(T737="","",T737),IF(W737="","",W737))))))</f>
        <v>#N/A</v>
      </c>
      <c r="D238" s="3" t="e">
        <f>IF('Coach Card'!$T$5="",IF($D$1="Team",IF(AG237="","",AG237),""),IF($D$1="Team",IF(AD737="","",AD737),""))</f>
        <v>#N/A</v>
      </c>
      <c r="E238" s="3" t="e">
        <f>IF('Coach Card'!$T$5="",IF($D$1="Team",IF(AH237="","",AH237),""),IF($D$1="Team",IF(AE737="","",AE737),""))</f>
        <v>#N/A</v>
      </c>
      <c r="O238" s="1"/>
      <c r="R238" s="1" t="s">
        <v>1767</v>
      </c>
      <c r="S238" t="s">
        <v>2210</v>
      </c>
      <c r="T238" s="3">
        <v>2.375</v>
      </c>
      <c r="U238" s="1" t="s">
        <v>1767</v>
      </c>
      <c r="V238" t="s">
        <v>2210</v>
      </c>
      <c r="W238" s="3">
        <v>2.375</v>
      </c>
      <c r="X238" s="1" t="s">
        <v>1767</v>
      </c>
      <c r="Y238" t="s">
        <v>2198</v>
      </c>
      <c r="Z238" s="3">
        <v>1.075</v>
      </c>
      <c r="AK238" t="s">
        <v>2194</v>
      </c>
      <c r="AL238" t="s">
        <v>1673</v>
      </c>
      <c r="AM238">
        <v>0.5</v>
      </c>
    </row>
    <row r="239" spans="1:39" x14ac:dyDescent="0.35">
      <c r="A239" s="6" t="e">
        <f>IF('Coach Card'!$T$5="",IF($B$1="Solo",IF(L238="","",L238),IF($B$1="MSolo",IF(O238="","",O238),IF($B$1="Duet",IF(R238="","",R238),IF($B$1="Mixed",IF(U238="","",U238),IF(X238="","",X238))))),IF($B$1="Solo",IF(L738="","",L738),IF($B$1="MSolo",IF(L738="","",L738),IF($B$1="Duet",IF(O738="","",O738),IF($B$1="Mixed",IF(R738="","",R738),IF(U738="","",U738))))))</f>
        <v>#N/A</v>
      </c>
      <c r="B239" s="3" t="e">
        <f>IF('Coach Card'!$T$5="",IF($B$1="Solo",IF(M238="","",M238),IF($B$1="MSolo",IF(P238="","",P238),IF($B$1="Duet",IF(S238="","",S238),IF($B$1="Mixed",IF(V238="","",V238),IF(Y238="","",Y238))))),IF($B$1="Solo",IF(M738="","",M738),IF($B$1="MSolo",IF(M738="","",M738),IF($B$1="Duet",IF(P738="","",P738),IF($B$1="Mixed",IF(S738="","",S738),IF(V738="","",V738))))))</f>
        <v>#N/A</v>
      </c>
      <c r="C239" s="3" t="e">
        <f>IF('Coach Card'!$T$5="",IF($B$1="Solo",IF(N238="","",N238),IF($B$1="MSolo",IF(Q238="","",Q238),IF($B$1="Duet",IF(T238="","",T238),IF($B$1="Mixed",IF(W238="","",W238),IF(Z238="","",Z238))))),IF($B$1="Solo",IF(N738="","",N738),IF($B$1="MSolo",IF(N738="","",N738),IF($B$1="Duet",IF(Q738="","",Q738),IF($B$1="Mixed",IF(T738="","",T738),IF(W738="","",W738))))))</f>
        <v>#N/A</v>
      </c>
      <c r="D239" s="3" t="e">
        <f>IF('Coach Card'!$T$5="",IF($D$1="Team",IF(AG238="","",AG238),""),IF($D$1="Team",IF(AD738="","",AD738),""))</f>
        <v>#N/A</v>
      </c>
      <c r="E239" s="3" t="e">
        <f>IF('Coach Card'!$T$5="",IF($D$1="Team",IF(AH238="","",AH238),""),IF($D$1="Team",IF(AE738="","",AE738),""))</f>
        <v>#N/A</v>
      </c>
      <c r="O239" s="1"/>
      <c r="R239" s="1" t="s">
        <v>1767</v>
      </c>
      <c r="S239" t="s">
        <v>2211</v>
      </c>
      <c r="T239" s="3">
        <v>2.2250000000000001</v>
      </c>
      <c r="U239" s="1" t="s">
        <v>1767</v>
      </c>
      <c r="V239" t="s">
        <v>2211</v>
      </c>
      <c r="W239" s="3">
        <v>2.2250000000000001</v>
      </c>
      <c r="X239" s="1" t="s">
        <v>1767</v>
      </c>
      <c r="Y239" t="s">
        <v>2199</v>
      </c>
      <c r="Z239" s="3">
        <v>1.175</v>
      </c>
      <c r="AK239" t="s">
        <v>2195</v>
      </c>
      <c r="AL239" t="s">
        <v>59</v>
      </c>
      <c r="AM239">
        <v>0.5</v>
      </c>
    </row>
    <row r="240" spans="1:39" x14ac:dyDescent="0.35">
      <c r="A240" s="6" t="e">
        <f>IF('Coach Card'!$T$5="",IF($B$1="Solo",IF(L239="","",L239),IF($B$1="MSolo",IF(O239="","",O239),IF($B$1="Duet",IF(R239="","",R239),IF($B$1="Mixed",IF(U239="","",U239),IF(X239="","",X239))))),IF($B$1="Solo",IF(L739="","",L739),IF($B$1="MSolo",IF(L739="","",L739),IF($B$1="Duet",IF(O739="","",O739),IF($B$1="Mixed",IF(R739="","",R739),IF(U739="","",U739))))))</f>
        <v>#N/A</v>
      </c>
      <c r="B240" s="3" t="e">
        <f>IF('Coach Card'!$T$5="",IF($B$1="Solo",IF(M239="","",M239),IF($B$1="MSolo",IF(P239="","",P239),IF($B$1="Duet",IF(S239="","",S239),IF($B$1="Mixed",IF(V239="","",V239),IF(Y239="","",Y239))))),IF($B$1="Solo",IF(M739="","",M739),IF($B$1="MSolo",IF(M739="","",M739),IF($B$1="Duet",IF(P739="","",P739),IF($B$1="Mixed",IF(S739="","",S739),IF(V739="","",V739))))))</f>
        <v>#N/A</v>
      </c>
      <c r="C240" s="3" t="e">
        <f>IF('Coach Card'!$T$5="",IF($B$1="Solo",IF(N239="","",N239),IF($B$1="MSolo",IF(Q239="","",Q239),IF($B$1="Duet",IF(T239="","",T239),IF($B$1="Mixed",IF(W239="","",W239),IF(Z239="","",Z239))))),IF($B$1="Solo",IF(N739="","",N739),IF($B$1="MSolo",IF(N739="","",N739),IF($B$1="Duet",IF(Q739="","",Q739),IF($B$1="Mixed",IF(T739="","",T739),IF(W739="","",W739))))))</f>
        <v>#N/A</v>
      </c>
      <c r="D240" s="3" t="e">
        <f>IF('Coach Card'!$T$5="",IF($D$1="Team",IF(AG239="","",AG239),""),IF($D$1="Team",IF(AD739="","",AD739),""))</f>
        <v>#N/A</v>
      </c>
      <c r="E240" s="3" t="e">
        <f>IF('Coach Card'!$T$5="",IF($D$1="Team",IF(AH239="","",AH239),""),IF($D$1="Team",IF(AE739="","",AE739),""))</f>
        <v>#N/A</v>
      </c>
      <c r="O240" s="1"/>
      <c r="R240" s="1" t="s">
        <v>1767</v>
      </c>
      <c r="S240" t="s">
        <v>2212</v>
      </c>
      <c r="T240" s="3">
        <v>2.6749999999999998</v>
      </c>
      <c r="U240" s="1" t="s">
        <v>1767</v>
      </c>
      <c r="V240" t="s">
        <v>2212</v>
      </c>
      <c r="W240" s="3">
        <v>2.6749999999999998</v>
      </c>
      <c r="X240" s="1" t="s">
        <v>1767</v>
      </c>
      <c r="Y240" t="s">
        <v>2200</v>
      </c>
      <c r="Z240" s="3">
        <v>0.97499999999999998</v>
      </c>
      <c r="AK240" t="s">
        <v>2196</v>
      </c>
      <c r="AL240" t="s">
        <v>1674</v>
      </c>
      <c r="AM240">
        <v>0.5</v>
      </c>
    </row>
    <row r="241" spans="1:39" x14ac:dyDescent="0.35">
      <c r="A241" s="6" t="e">
        <f>IF('Coach Card'!$T$5="",IF($B$1="Solo",IF(L240="","",L240),IF($B$1="MSolo",IF(O240="","",O240),IF($B$1="Duet",IF(R240="","",R240),IF($B$1="Mixed",IF(U240="","",U240),IF(X240="","",X240))))),IF($B$1="Solo",IF(L740="","",L740),IF($B$1="MSolo",IF(L740="","",L740),IF($B$1="Duet",IF(O740="","",O740),IF($B$1="Mixed",IF(R740="","",R740),IF(U740="","",U740))))))</f>
        <v>#N/A</v>
      </c>
      <c r="B241" s="3" t="e">
        <f>IF('Coach Card'!$T$5="",IF($B$1="Solo",IF(M240="","",M240),IF($B$1="MSolo",IF(P240="","",P240),IF($B$1="Duet",IF(S240="","",S240),IF($B$1="Mixed",IF(V240="","",V240),IF(Y240="","",Y240))))),IF($B$1="Solo",IF(M740="","",M740),IF($B$1="MSolo",IF(M740="","",M740),IF($B$1="Duet",IF(P740="","",P740),IF($B$1="Mixed",IF(S740="","",S740),IF(V740="","",V740))))))</f>
        <v>#N/A</v>
      </c>
      <c r="C241" s="3" t="e">
        <f>IF('Coach Card'!$T$5="",IF($B$1="Solo",IF(N240="","",N240),IF($B$1="MSolo",IF(Q240="","",Q240),IF($B$1="Duet",IF(T240="","",T240),IF($B$1="Mixed",IF(W240="","",W240),IF(Z240="","",Z240))))),IF($B$1="Solo",IF(N740="","",N740),IF($B$1="MSolo",IF(N740="","",N740),IF($B$1="Duet",IF(Q740="","",Q740),IF($B$1="Mixed",IF(T740="","",T740),IF(W740="","",W740))))))</f>
        <v>#N/A</v>
      </c>
      <c r="D241" s="3" t="e">
        <f>IF('Coach Card'!$T$5="",IF($D$1="Team",IF(AG240="","",AG240),""),IF($D$1="Team",IF(AD740="","",AD740),""))</f>
        <v>#N/A</v>
      </c>
      <c r="E241" s="3" t="e">
        <f>IF('Coach Card'!$T$5="",IF($D$1="Team",IF(AH240="","",AH240),""),IF($D$1="Team",IF(AE740="","",AE740),""))</f>
        <v>#N/A</v>
      </c>
      <c r="O241" s="1"/>
      <c r="R241" s="1" t="s">
        <v>1767</v>
      </c>
      <c r="S241" t="s">
        <v>2213</v>
      </c>
      <c r="T241" s="3">
        <v>2.4750000000000001</v>
      </c>
      <c r="U241" s="1" t="s">
        <v>1767</v>
      </c>
      <c r="V241" t="s">
        <v>2213</v>
      </c>
      <c r="W241" s="3">
        <v>2.4750000000000001</v>
      </c>
      <c r="X241" s="1" t="s">
        <v>1767</v>
      </c>
      <c r="Y241" t="s">
        <v>2201</v>
      </c>
      <c r="Z241" s="3">
        <v>1.2250000000000001</v>
      </c>
      <c r="AK241" t="s">
        <v>2197</v>
      </c>
      <c r="AL241" t="s">
        <v>1675</v>
      </c>
      <c r="AM241">
        <v>0.5</v>
      </c>
    </row>
    <row r="242" spans="1:39" x14ac:dyDescent="0.35">
      <c r="A242" s="6" t="e">
        <f>IF('Coach Card'!$T$5="",IF($B$1="Solo",IF(L241="","",L241),IF($B$1="MSolo",IF(O241="","",O241),IF($B$1="Duet",IF(R241="","",R241),IF($B$1="Mixed",IF(U241="","",U241),IF(X241="","",X241))))),IF($B$1="Solo",IF(L741="","",L741),IF($B$1="MSolo",IF(L741="","",L741),IF($B$1="Duet",IF(O741="","",O741),IF($B$1="Mixed",IF(R741="","",R741),IF(U741="","",U741))))))</f>
        <v>#N/A</v>
      </c>
      <c r="B242" s="3" t="e">
        <f>IF('Coach Card'!$T$5="",IF($B$1="Solo",IF(M241="","",M241),IF($B$1="MSolo",IF(P241="","",P241),IF($B$1="Duet",IF(S241="","",S241),IF($B$1="Mixed",IF(V241="","",V241),IF(Y241="","",Y241))))),IF($B$1="Solo",IF(M741="","",M741),IF($B$1="MSolo",IF(M741="","",M741),IF($B$1="Duet",IF(P741="","",P741),IF($B$1="Mixed",IF(S741="","",S741),IF(V741="","",V741))))))</f>
        <v>#N/A</v>
      </c>
      <c r="C242" s="3" t="e">
        <f>IF('Coach Card'!$T$5="",IF($B$1="Solo",IF(N241="","",N241),IF($B$1="MSolo",IF(Q241="","",Q241),IF($B$1="Duet",IF(T241="","",T241),IF($B$1="Mixed",IF(W241="","",W241),IF(Z241="","",Z241))))),IF($B$1="Solo",IF(N741="","",N741),IF($B$1="MSolo",IF(N741="","",N741),IF($B$1="Duet",IF(Q741="","",Q741),IF($B$1="Mixed",IF(T741="","",T741),IF(W741="","",W741))))))</f>
        <v>#N/A</v>
      </c>
      <c r="D242" s="3" t="e">
        <f>IF('Coach Card'!$T$5="",IF($D$1="Team",IF(AG241="","",AG241),""),IF($D$1="Team",IF(AD741="","",AD741),""))</f>
        <v>#N/A</v>
      </c>
      <c r="E242" s="3" t="e">
        <f>IF('Coach Card'!$T$5="",IF($D$1="Team",IF(AH241="","",AH241),""),IF($D$1="Team",IF(AE741="","",AE741),""))</f>
        <v>#N/A</v>
      </c>
      <c r="O242" s="1"/>
      <c r="R242" s="1" t="s">
        <v>1767</v>
      </c>
      <c r="S242" t="s">
        <v>2214</v>
      </c>
      <c r="T242" s="3">
        <v>2.9750000000000001</v>
      </c>
      <c r="U242" s="1" t="s">
        <v>1767</v>
      </c>
      <c r="V242" t="s">
        <v>2214</v>
      </c>
      <c r="W242" s="3">
        <v>2.9750000000000001</v>
      </c>
      <c r="X242" s="1" t="s">
        <v>1767</v>
      </c>
      <c r="Y242" t="s">
        <v>2202</v>
      </c>
      <c r="Z242" s="3">
        <v>1.4750000000000001</v>
      </c>
      <c r="AK242" t="s">
        <v>2198</v>
      </c>
      <c r="AL242" t="s">
        <v>1676</v>
      </c>
      <c r="AM242">
        <v>0.5</v>
      </c>
    </row>
    <row r="243" spans="1:39" x14ac:dyDescent="0.35">
      <c r="A243" s="6" t="e">
        <f>IF('Coach Card'!$T$5="",IF($B$1="Solo",IF(L242="","",L242),IF($B$1="MSolo",IF(O242="","",O242),IF($B$1="Duet",IF(R242="","",R242),IF($B$1="Mixed",IF(U242="","",U242),IF(X242="","",X242))))),IF($B$1="Solo",IF(L742="","",L742),IF($B$1="MSolo",IF(L742="","",L742),IF($B$1="Duet",IF(O742="","",O742),IF($B$1="Mixed",IF(R742="","",R742),IF(U742="","",U742))))))</f>
        <v>#N/A</v>
      </c>
      <c r="B243" s="3" t="e">
        <f>IF('Coach Card'!$T$5="",IF($B$1="Solo",IF(M242="","",M242),IF($B$1="MSolo",IF(P242="","",P242),IF($B$1="Duet",IF(S242="","",S242),IF($B$1="Mixed",IF(V242="","",V242),IF(Y242="","",Y242))))),IF($B$1="Solo",IF(M742="","",M742),IF($B$1="MSolo",IF(M742="","",M742),IF($B$1="Duet",IF(P742="","",P742),IF($B$1="Mixed",IF(S742="","",S742),IF(V742="","",V742))))))</f>
        <v>#N/A</v>
      </c>
      <c r="C243" s="3" t="e">
        <f>IF('Coach Card'!$T$5="",IF($B$1="Solo",IF(N242="","",N242),IF($B$1="MSolo",IF(Q242="","",Q242),IF($B$1="Duet",IF(T242="","",T242),IF($B$1="Mixed",IF(W242="","",W242),IF(Z242="","",Z242))))),IF($B$1="Solo",IF(N742="","",N742),IF($B$1="MSolo",IF(N742="","",N742),IF($B$1="Duet",IF(Q742="","",Q742),IF($B$1="Mixed",IF(T742="","",T742),IF(W742="","",W742))))))</f>
        <v>#N/A</v>
      </c>
      <c r="D243" s="3" t="e">
        <f>IF('Coach Card'!$T$5="",IF($D$1="Team",IF(AG242="","",AG242),""),IF($D$1="Team",IF(AD742="","",AD742),""))</f>
        <v>#N/A</v>
      </c>
      <c r="E243" s="3" t="e">
        <f>IF('Coach Card'!$T$5="",IF($D$1="Team",IF(AH242="","",AH242),""),IF($D$1="Team",IF(AE742="","",AE742),""))</f>
        <v>#N/A</v>
      </c>
      <c r="O243" s="1"/>
      <c r="R243" s="1" t="s">
        <v>1631</v>
      </c>
      <c r="S243" t="s">
        <v>2215</v>
      </c>
      <c r="T243" s="3">
        <v>2.5000000000000001E-2</v>
      </c>
      <c r="U243" s="1" t="s">
        <v>1631</v>
      </c>
      <c r="V243" t="s">
        <v>2215</v>
      </c>
      <c r="W243" s="3">
        <v>2.5000000000000001E-2</v>
      </c>
      <c r="X243" s="1" t="s">
        <v>1767</v>
      </c>
      <c r="Y243" t="s">
        <v>2203</v>
      </c>
      <c r="Z243" s="3">
        <v>1.175</v>
      </c>
      <c r="AK243" t="s">
        <v>2199</v>
      </c>
      <c r="AL243" t="s">
        <v>1677</v>
      </c>
      <c r="AM243">
        <v>0.5</v>
      </c>
    </row>
    <row r="244" spans="1:39" x14ac:dyDescent="0.35">
      <c r="A244" s="6" t="e">
        <f>IF('Coach Card'!$T$5="",IF($B$1="Solo",IF(L243="","",L243),IF($B$1="MSolo",IF(O243="","",O243),IF($B$1="Duet",IF(R243="","",R243),IF($B$1="Mixed",IF(U243="","",U243),IF(X243="","",X243))))),IF($B$1="Solo",IF(L743="","",L743),IF($B$1="MSolo",IF(L743="","",L743),IF($B$1="Duet",IF(O743="","",O743),IF($B$1="Mixed",IF(R743="","",R743),IF(U743="","",U743))))))</f>
        <v>#N/A</v>
      </c>
      <c r="B244" s="3" t="e">
        <f>IF('Coach Card'!$T$5="",IF($B$1="Solo",IF(M243="","",M243),IF($B$1="MSolo",IF(P243="","",P243),IF($B$1="Duet",IF(S243="","",S243),IF($B$1="Mixed",IF(V243="","",V243),IF(Y243="","",Y243))))),IF($B$1="Solo",IF(M743="","",M743),IF($B$1="MSolo",IF(M743="","",M743),IF($B$1="Duet",IF(P743="","",P743),IF($B$1="Mixed",IF(S743="","",S743),IF(V743="","",V743))))))</f>
        <v>#N/A</v>
      </c>
      <c r="C244" s="3" t="e">
        <f>IF('Coach Card'!$T$5="",IF($B$1="Solo",IF(N243="","",N243),IF($B$1="MSolo",IF(Q243="","",Q243),IF($B$1="Duet",IF(T243="","",T243),IF($B$1="Mixed",IF(W243="","",W243),IF(Z243="","",Z243))))),IF($B$1="Solo",IF(N743="","",N743),IF($B$1="MSolo",IF(N743="","",N743),IF($B$1="Duet",IF(Q743="","",Q743),IF($B$1="Mixed",IF(T743="","",T743),IF(W743="","",W743))))))</f>
        <v>#N/A</v>
      </c>
      <c r="D244" s="3" t="e">
        <f>IF('Coach Card'!$T$5="",IF($D$1="Team",IF(AG243="","",AG243),""),IF($D$1="Team",IF(AD743="","",AD743),""))</f>
        <v>#N/A</v>
      </c>
      <c r="E244" s="3" t="e">
        <f>IF('Coach Card'!$T$5="",IF($D$1="Team",IF(AH243="","",AH243),""),IF($D$1="Team",IF(AE743="","",AE743),""))</f>
        <v>#N/A</v>
      </c>
      <c r="O244" s="1"/>
      <c r="R244" s="1" t="s">
        <v>1631</v>
      </c>
      <c r="S244" t="s">
        <v>2216</v>
      </c>
      <c r="T244" s="3">
        <v>0.05</v>
      </c>
      <c r="U244" s="1" t="s">
        <v>1631</v>
      </c>
      <c r="V244" t="s">
        <v>2216</v>
      </c>
      <c r="W244" s="3">
        <v>0.05</v>
      </c>
      <c r="X244" s="1" t="s">
        <v>1767</v>
      </c>
      <c r="Y244" t="s">
        <v>2204</v>
      </c>
      <c r="Z244" s="3">
        <v>1.4750000000000001</v>
      </c>
      <c r="AK244" t="s">
        <v>2200</v>
      </c>
      <c r="AL244" t="s">
        <v>1678</v>
      </c>
      <c r="AM244">
        <v>0.5</v>
      </c>
    </row>
    <row r="245" spans="1:39" x14ac:dyDescent="0.35">
      <c r="A245" s="6" t="e">
        <f>IF('Coach Card'!$T$5="",IF($B$1="Solo",IF(L244="","",L244),IF($B$1="MSolo",IF(O244="","",O244),IF($B$1="Duet",IF(R244="","",R244),IF($B$1="Mixed",IF(U244="","",U244),IF(X244="","",X244))))),IF($B$1="Solo",IF(L744="","",L744),IF($B$1="MSolo",IF(L744="","",L744),IF($B$1="Duet",IF(O744="","",O744),IF($B$1="Mixed",IF(R744="","",R744),IF(U744="","",U744))))))</f>
        <v>#N/A</v>
      </c>
      <c r="B245" s="3" t="e">
        <f>IF('Coach Card'!$T$5="",IF($B$1="Solo",IF(M244="","",M244),IF($B$1="MSolo",IF(P244="","",P244),IF($B$1="Duet",IF(S244="","",S244),IF($B$1="Mixed",IF(V244="","",V244),IF(Y244="","",Y244))))),IF($B$1="Solo",IF(M744="","",M744),IF($B$1="MSolo",IF(M744="","",M744),IF($B$1="Duet",IF(P744="","",P744),IF($B$1="Mixed",IF(S744="","",S744),IF(V744="","",V744))))))</f>
        <v>#N/A</v>
      </c>
      <c r="C245" s="3" t="e">
        <f>IF('Coach Card'!$T$5="",IF($B$1="Solo",IF(N244="","",N244),IF($B$1="MSolo",IF(Q244="","",Q244),IF($B$1="Duet",IF(T244="","",T244),IF($B$1="Mixed",IF(W244="","",W244),IF(Z244="","",Z244))))),IF($B$1="Solo",IF(N744="","",N744),IF($B$1="MSolo",IF(N744="","",N744),IF($B$1="Duet",IF(Q744="","",Q744),IF($B$1="Mixed",IF(T744="","",T744),IF(W744="","",W744))))))</f>
        <v>#N/A</v>
      </c>
      <c r="D245" s="3" t="e">
        <f>IF('Coach Card'!$T$5="",IF($D$1="Team",IF(AG244="","",AG244),""),IF($D$1="Team",IF(AD744="","",AD744),""))</f>
        <v>#N/A</v>
      </c>
      <c r="E245" s="3" t="e">
        <f>IF('Coach Card'!$T$5="",IF($D$1="Team",IF(AH244="","",AH244),""),IF($D$1="Team",IF(AE744="","",AE744),""))</f>
        <v>#N/A</v>
      </c>
      <c r="O245" s="1"/>
      <c r="R245" s="1" t="s">
        <v>1631</v>
      </c>
      <c r="S245" t="s">
        <v>2217</v>
      </c>
      <c r="T245" s="3">
        <v>0.05</v>
      </c>
      <c r="U245" s="1" t="s">
        <v>1631</v>
      </c>
      <c r="V245" t="s">
        <v>2217</v>
      </c>
      <c r="W245" s="3">
        <v>0.05</v>
      </c>
      <c r="X245" s="1" t="s">
        <v>1767</v>
      </c>
      <c r="Y245" t="s">
        <v>2205</v>
      </c>
      <c r="Z245" s="3">
        <v>1.675</v>
      </c>
      <c r="AK245" t="s">
        <v>2201</v>
      </c>
      <c r="AL245" t="s">
        <v>1679</v>
      </c>
      <c r="AM245">
        <v>0.5</v>
      </c>
    </row>
    <row r="246" spans="1:39" x14ac:dyDescent="0.35">
      <c r="A246" s="6" t="e">
        <f>IF('Coach Card'!$T$5="",IF($B$1="Solo",IF(L245="","",L245),IF($B$1="MSolo",IF(O245="","",O245),IF($B$1="Duet",IF(R245="","",R245),IF($B$1="Mixed",IF(U245="","",U245),IF(X245="","",X245))))),IF($B$1="Solo",IF(L745="","",L745),IF($B$1="MSolo",IF(L745="","",L745),IF($B$1="Duet",IF(O745="","",O745),IF($B$1="Mixed",IF(R745="","",R745),IF(U745="","",U745))))))</f>
        <v>#N/A</v>
      </c>
      <c r="B246" s="3" t="e">
        <f>IF('Coach Card'!$T$5="",IF($B$1="Solo",IF(M245="","",M245),IF($B$1="MSolo",IF(P245="","",P245),IF($B$1="Duet",IF(S245="","",S245),IF($B$1="Mixed",IF(V245="","",V245),IF(Y245="","",Y245))))),IF($B$1="Solo",IF(M745="","",M745),IF($B$1="MSolo",IF(M745="","",M745),IF($B$1="Duet",IF(P745="","",P745),IF($B$1="Mixed",IF(S745="","",S745),IF(V745="","",V745))))))</f>
        <v>#N/A</v>
      </c>
      <c r="C246" s="3" t="e">
        <f>IF('Coach Card'!$T$5="",IF($B$1="Solo",IF(N245="","",N245),IF($B$1="MSolo",IF(Q245="","",Q245),IF($B$1="Duet",IF(T245="","",T245),IF($B$1="Mixed",IF(W245="","",W245),IF(Z245="","",Z245))))),IF($B$1="Solo",IF(N745="","",N745),IF($B$1="MSolo",IF(N745="","",N745),IF($B$1="Duet",IF(Q745="","",Q745),IF($B$1="Mixed",IF(T745="","",T745),IF(W745="","",W745))))))</f>
        <v>#N/A</v>
      </c>
      <c r="D246" s="3" t="e">
        <f>IF('Coach Card'!$T$5="",IF($D$1="Team",IF(AG245="","",AG245),""),IF($D$1="Team",IF(AD745="","",AD745),""))</f>
        <v>#N/A</v>
      </c>
      <c r="E246" s="3" t="e">
        <f>IF('Coach Card'!$T$5="",IF($D$1="Team",IF(AH245="","",AH245),""),IF($D$1="Team",IF(AE745="","",AE745),""))</f>
        <v>#N/A</v>
      </c>
      <c r="O246" s="1"/>
      <c r="R246" s="1" t="s">
        <v>1631</v>
      </c>
      <c r="S246" t="s">
        <v>2218</v>
      </c>
      <c r="T246" s="3">
        <v>0.05</v>
      </c>
      <c r="U246" s="1" t="s">
        <v>1631</v>
      </c>
      <c r="V246" t="s">
        <v>2218</v>
      </c>
      <c r="W246" s="3">
        <v>0.05</v>
      </c>
      <c r="X246" s="1" t="s">
        <v>1767</v>
      </c>
      <c r="Y246" t="s">
        <v>2206</v>
      </c>
      <c r="Z246" s="3">
        <v>1.7749999999999999</v>
      </c>
      <c r="AK246" t="s">
        <v>2202</v>
      </c>
      <c r="AL246" t="s">
        <v>1680</v>
      </c>
      <c r="AM246">
        <v>0.5</v>
      </c>
    </row>
    <row r="247" spans="1:39" x14ac:dyDescent="0.35">
      <c r="A247" s="6" t="e">
        <f>IF('Coach Card'!$T$5="",IF($B$1="Solo",IF(L246="","",L246),IF($B$1="MSolo",IF(O246="","",O246),IF($B$1="Duet",IF(R246="","",R246),IF($B$1="Mixed",IF(U246="","",U246),IF(X246="","",X246))))),IF($B$1="Solo",IF(L746="","",L746),IF($B$1="MSolo",IF(L746="","",L746),IF($B$1="Duet",IF(O746="","",O746),IF($B$1="Mixed",IF(R746="","",R746),IF(U746="","",U746))))))</f>
        <v>#N/A</v>
      </c>
      <c r="B247" s="3" t="e">
        <f>IF('Coach Card'!$T$5="",IF($B$1="Solo",IF(M246="","",M246),IF($B$1="MSolo",IF(P246="","",P246),IF($B$1="Duet",IF(S246="","",S246),IF($B$1="Mixed",IF(V246="","",V246),IF(Y246="","",Y246))))),IF($B$1="Solo",IF(M746="","",M746),IF($B$1="MSolo",IF(M746="","",M746),IF($B$1="Duet",IF(P746="","",P746),IF($B$1="Mixed",IF(S746="","",S746),IF(V746="","",V746))))))</f>
        <v>#N/A</v>
      </c>
      <c r="C247" s="3" t="e">
        <f>IF('Coach Card'!$T$5="",IF($B$1="Solo",IF(N246="","",N246),IF($B$1="MSolo",IF(Q246="","",Q246),IF($B$1="Duet",IF(T246="","",T246),IF($B$1="Mixed",IF(W246="","",W246),IF(Z246="","",Z246))))),IF($B$1="Solo",IF(N746="","",N746),IF($B$1="MSolo",IF(N746="","",N746),IF($B$1="Duet",IF(Q746="","",Q746),IF($B$1="Mixed",IF(T746="","",T746),IF(W746="","",W746))))))</f>
        <v>#N/A</v>
      </c>
      <c r="D247" s="3" t="e">
        <f>IF('Coach Card'!$T$5="",IF($D$1="Team",IF(AG246="","",AG246),""),IF($D$1="Team",IF(AD746="","",AD746),""))</f>
        <v>#N/A</v>
      </c>
      <c r="E247" s="3" t="e">
        <f>IF('Coach Card'!$T$5="",IF($D$1="Team",IF(AH246="","",AH246),""),IF($D$1="Team",IF(AE746="","",AE746),""))</f>
        <v>#N/A</v>
      </c>
      <c r="O247" s="1"/>
      <c r="R247" s="1" t="s">
        <v>1631</v>
      </c>
      <c r="S247" t="s">
        <v>2219</v>
      </c>
      <c r="T247" s="3">
        <v>0.05</v>
      </c>
      <c r="U247" s="1" t="s">
        <v>1631</v>
      </c>
      <c r="V247" t="s">
        <v>2219</v>
      </c>
      <c r="W247" s="3">
        <v>0.05</v>
      </c>
      <c r="X247" s="1" t="s">
        <v>1767</v>
      </c>
      <c r="Y247" t="s">
        <v>2207</v>
      </c>
      <c r="Z247" s="3">
        <v>1.7250000000000001</v>
      </c>
      <c r="AK247" t="s">
        <v>2203</v>
      </c>
      <c r="AL247" t="s">
        <v>1681</v>
      </c>
      <c r="AM247">
        <v>0.5</v>
      </c>
    </row>
    <row r="248" spans="1:39" x14ac:dyDescent="0.35">
      <c r="A248" s="6" t="e">
        <f>IF('Coach Card'!$T$5="",IF($B$1="Solo",IF(L247="","",L247),IF($B$1="MSolo",IF(O247="","",O247),IF($B$1="Duet",IF(R247="","",R247),IF($B$1="Mixed",IF(U247="","",U247),IF(X247="","",X247))))),IF($B$1="Solo",IF(L747="","",L747),IF($B$1="MSolo",IF(L747="","",L747),IF($B$1="Duet",IF(O747="","",O747),IF($B$1="Mixed",IF(R747="","",R747),IF(U747="","",U747))))))</f>
        <v>#N/A</v>
      </c>
      <c r="B248" s="3" t="e">
        <f>IF('Coach Card'!$T$5="",IF($B$1="Solo",IF(M247="","",M247),IF($B$1="MSolo",IF(P247="","",P247),IF($B$1="Duet",IF(S247="","",S247),IF($B$1="Mixed",IF(V247="","",V247),IF(Y247="","",Y247))))),IF($B$1="Solo",IF(M747="","",M747),IF($B$1="MSolo",IF(M747="","",M747),IF($B$1="Duet",IF(P747="","",P747),IF($B$1="Mixed",IF(S747="","",S747),IF(V747="","",V747))))))</f>
        <v>#N/A</v>
      </c>
      <c r="C248" s="3" t="e">
        <f>IF('Coach Card'!$T$5="",IF($B$1="Solo",IF(N247="","",N247),IF($B$1="MSolo",IF(Q247="","",Q247),IF($B$1="Duet",IF(T247="","",T247),IF($B$1="Mixed",IF(W247="","",W247),IF(Z247="","",Z247))))),IF($B$1="Solo",IF(N747="","",N747),IF($B$1="MSolo",IF(N747="","",N747),IF($B$1="Duet",IF(Q747="","",Q747),IF($B$1="Mixed",IF(T747="","",T747),IF(W747="","",W747))))))</f>
        <v>#N/A</v>
      </c>
      <c r="D248" s="3" t="e">
        <f>IF('Coach Card'!$T$5="",IF($D$1="Team",IF(AG247="","",AG247),""),IF($D$1="Team",IF(AD747="","",AD747),""))</f>
        <v>#N/A</v>
      </c>
      <c r="E248" s="3" t="e">
        <f>IF('Coach Card'!$T$5="",IF($D$1="Team",IF(AH247="","",AH247),""),IF($D$1="Team",IF(AE747="","",AE747),""))</f>
        <v>#N/A</v>
      </c>
      <c r="O248" s="1"/>
      <c r="R248" s="1" t="s">
        <v>1631</v>
      </c>
      <c r="S248" t="s">
        <v>2220</v>
      </c>
      <c r="T248" s="3">
        <v>7.4999999999999997E-2</v>
      </c>
      <c r="U248" s="1" t="s">
        <v>1631</v>
      </c>
      <c r="V248" t="s">
        <v>2220</v>
      </c>
      <c r="W248" s="3">
        <v>7.4999999999999997E-2</v>
      </c>
      <c r="X248" s="1" t="s">
        <v>1767</v>
      </c>
      <c r="Y248" t="s">
        <v>2208</v>
      </c>
      <c r="Z248" s="3">
        <v>2.0750000000000002</v>
      </c>
      <c r="AK248" t="s">
        <v>2204</v>
      </c>
      <c r="AL248" t="s">
        <v>1682</v>
      </c>
      <c r="AM248">
        <v>0.5</v>
      </c>
    </row>
    <row r="249" spans="1:39" x14ac:dyDescent="0.35">
      <c r="A249" s="6" t="e">
        <f>IF('Coach Card'!$T$5="",IF($B$1="Solo",IF(L248="","",L248),IF($B$1="MSolo",IF(O248="","",O248),IF($B$1="Duet",IF(R248="","",R248),IF($B$1="Mixed",IF(U248="","",U248),IF(X248="","",X248))))),IF($B$1="Solo",IF(L748="","",L748),IF($B$1="MSolo",IF(L748="","",L748),IF($B$1="Duet",IF(O748="","",O748),IF($B$1="Mixed",IF(R748="","",R748),IF(U748="","",U748))))))</f>
        <v>#N/A</v>
      </c>
      <c r="B249" s="3" t="e">
        <f>IF('Coach Card'!$T$5="",IF($B$1="Solo",IF(M248="","",M248),IF($B$1="MSolo",IF(P248="","",P248),IF($B$1="Duet",IF(S248="","",S248),IF($B$1="Mixed",IF(V248="","",V248),IF(Y248="","",Y248))))),IF($B$1="Solo",IF(M748="","",M748),IF($B$1="MSolo",IF(M748="","",M748),IF($B$1="Duet",IF(P748="","",P748),IF($B$1="Mixed",IF(S748="","",S748),IF(V748="","",V748))))))</f>
        <v>#N/A</v>
      </c>
      <c r="C249" s="3" t="e">
        <f>IF('Coach Card'!$T$5="",IF($B$1="Solo",IF(N248="","",N248),IF($B$1="MSolo",IF(Q248="","",Q248),IF($B$1="Duet",IF(T248="","",T248),IF($B$1="Mixed",IF(W248="","",W248),IF(Z248="","",Z248))))),IF($B$1="Solo",IF(N748="","",N748),IF($B$1="MSolo",IF(N748="","",N748),IF($B$1="Duet",IF(Q748="","",Q748),IF($B$1="Mixed",IF(T748="","",T748),IF(W748="","",W748))))))</f>
        <v>#N/A</v>
      </c>
      <c r="D249" s="3" t="e">
        <f>IF('Coach Card'!$T$5="",IF($D$1="Team",IF(AG248="","",AG248),""),IF($D$1="Team",IF(AD748="","",AD748),""))</f>
        <v>#N/A</v>
      </c>
      <c r="E249" s="3" t="e">
        <f>IF('Coach Card'!$T$5="",IF($D$1="Team",IF(AH248="","",AH248),""),IF($D$1="Team",IF(AE748="","",AE748),""))</f>
        <v>#N/A</v>
      </c>
      <c r="O249" s="1"/>
      <c r="R249" s="1" t="s">
        <v>1631</v>
      </c>
      <c r="S249" t="s">
        <v>2221</v>
      </c>
      <c r="T249" s="3">
        <v>7.4999999999999997E-2</v>
      </c>
      <c r="U249" s="1" t="s">
        <v>1631</v>
      </c>
      <c r="V249" t="s">
        <v>2221</v>
      </c>
      <c r="W249" s="3">
        <v>7.4999999999999997E-2</v>
      </c>
      <c r="X249" s="1" t="s">
        <v>1767</v>
      </c>
      <c r="Y249" t="s">
        <v>2209</v>
      </c>
      <c r="Z249" s="3">
        <v>1.9750000000000001</v>
      </c>
      <c r="AK249" t="s">
        <v>2205</v>
      </c>
      <c r="AL249" t="s">
        <v>1683</v>
      </c>
      <c r="AM249">
        <v>0.5</v>
      </c>
    </row>
    <row r="250" spans="1:39" x14ac:dyDescent="0.35">
      <c r="A250" s="6" t="e">
        <f>IF('Coach Card'!$T$5="",IF($B$1="Solo",IF(L249="","",L249),IF($B$1="MSolo",IF(O249="","",O249),IF($B$1="Duet",IF(R249="","",R249),IF($B$1="Mixed",IF(U249="","",U249),IF(X249="","",X249))))),IF($B$1="Solo",IF(L749="","",L749),IF($B$1="MSolo",IF(L749="","",L749),IF($B$1="Duet",IF(O749="","",O749),IF($B$1="Mixed",IF(R749="","",R749),IF(U749="","",U749))))))</f>
        <v>#N/A</v>
      </c>
      <c r="B250" s="3" t="e">
        <f>IF('Coach Card'!$T$5="",IF($B$1="Solo",IF(M249="","",M249),IF($B$1="MSolo",IF(P249="","",P249),IF($B$1="Duet",IF(S249="","",S249),IF($B$1="Mixed",IF(V249="","",V249),IF(Y249="","",Y249))))),IF($B$1="Solo",IF(M749="","",M749),IF($B$1="MSolo",IF(M749="","",M749),IF($B$1="Duet",IF(P749="","",P749),IF($B$1="Mixed",IF(S749="","",S749),IF(V749="","",V749))))))</f>
        <v>#N/A</v>
      </c>
      <c r="C250" s="3" t="e">
        <f>IF('Coach Card'!$T$5="",IF($B$1="Solo",IF(N249="","",N249),IF($B$1="MSolo",IF(Q249="","",Q249),IF($B$1="Duet",IF(T249="","",T249),IF($B$1="Mixed",IF(W249="","",W249),IF(Z249="","",Z249))))),IF($B$1="Solo",IF(N749="","",N749),IF($B$1="MSolo",IF(N749="","",N749),IF($B$1="Duet",IF(Q749="","",Q749),IF($B$1="Mixed",IF(T749="","",T749),IF(W749="","",W749))))))</f>
        <v>#N/A</v>
      </c>
      <c r="D250" s="3" t="e">
        <f>IF('Coach Card'!$T$5="",IF($D$1="Team",IF(AG249="","",AG249),""),IF($D$1="Team",IF(AD749="","",AD749),""))</f>
        <v>#N/A</v>
      </c>
      <c r="E250" s="3" t="e">
        <f>IF('Coach Card'!$T$5="",IF($D$1="Team",IF(AH249="","",AH249),""),IF($D$1="Team",IF(AE749="","",AE749),""))</f>
        <v>#N/A</v>
      </c>
      <c r="O250" s="1"/>
      <c r="R250" s="1" t="s">
        <v>1631</v>
      </c>
      <c r="S250" t="s">
        <v>2222</v>
      </c>
      <c r="T250" s="3">
        <v>0.1</v>
      </c>
      <c r="U250" s="1" t="s">
        <v>1631</v>
      </c>
      <c r="V250" t="s">
        <v>2222</v>
      </c>
      <c r="W250" s="3">
        <v>0.1</v>
      </c>
      <c r="X250" s="1" t="s">
        <v>1767</v>
      </c>
      <c r="Y250" t="s">
        <v>2210</v>
      </c>
      <c r="Z250" s="3">
        <v>2.375</v>
      </c>
      <c r="AK250" t="s">
        <v>2206</v>
      </c>
      <c r="AL250" t="s">
        <v>1684</v>
      </c>
      <c r="AM250">
        <v>0.5</v>
      </c>
    </row>
    <row r="251" spans="1:39" x14ac:dyDescent="0.35">
      <c r="A251" s="6" t="e">
        <f>IF('Coach Card'!$T$5="",IF($B$1="Solo",IF(L250="","",L250),IF($B$1="MSolo",IF(O250="","",O250),IF($B$1="Duet",IF(R250="","",R250),IF($B$1="Mixed",IF(U250="","",U250),IF(X250="","",X250))))),IF($B$1="Solo",IF(L750="","",L750),IF($B$1="MSolo",IF(L750="","",L750),IF($B$1="Duet",IF(O750="","",O750),IF($B$1="Mixed",IF(R750="","",R750),IF(U750="","",U750))))))</f>
        <v>#N/A</v>
      </c>
      <c r="B251" s="3" t="e">
        <f>IF('Coach Card'!$T$5="",IF($B$1="Solo",IF(M250="","",M250),IF($B$1="MSolo",IF(P250="","",P250),IF($B$1="Duet",IF(S250="","",S250),IF($B$1="Mixed",IF(V250="","",V250),IF(Y250="","",Y250))))),IF($B$1="Solo",IF(M750="","",M750),IF($B$1="MSolo",IF(M750="","",M750),IF($B$1="Duet",IF(P750="","",P750),IF($B$1="Mixed",IF(S750="","",S750),IF(V750="","",V750))))))</f>
        <v>#N/A</v>
      </c>
      <c r="C251" s="3" t="e">
        <f>IF('Coach Card'!$T$5="",IF($B$1="Solo",IF(N250="","",N250),IF($B$1="MSolo",IF(Q250="","",Q250),IF($B$1="Duet",IF(T250="","",T250),IF($B$1="Mixed",IF(W250="","",W250),IF(Z250="","",Z250))))),IF($B$1="Solo",IF(N750="","",N750),IF($B$1="MSolo",IF(N750="","",N750),IF($B$1="Duet",IF(Q750="","",Q750),IF($B$1="Mixed",IF(T750="","",T750),IF(W750="","",W750))))))</f>
        <v>#N/A</v>
      </c>
      <c r="D251" s="3" t="e">
        <f>IF('Coach Card'!$T$5="",IF($D$1="Team",IF(AG250="","",AG250),""),IF($D$1="Team",IF(AD750="","",AD750),""))</f>
        <v>#N/A</v>
      </c>
      <c r="E251" s="3" t="e">
        <f>IF('Coach Card'!$T$5="",IF($D$1="Team",IF(AH250="","",AH250),""),IF($D$1="Team",IF(AE750="","",AE750),""))</f>
        <v>#N/A</v>
      </c>
      <c r="O251" s="1"/>
      <c r="R251" s="1" t="s">
        <v>1631</v>
      </c>
      <c r="S251" t="s">
        <v>2223</v>
      </c>
      <c r="T251" s="3">
        <v>0.1</v>
      </c>
      <c r="U251" s="1" t="s">
        <v>1631</v>
      </c>
      <c r="V251" t="s">
        <v>2223</v>
      </c>
      <c r="W251" s="3">
        <v>0.1</v>
      </c>
      <c r="X251" s="1" t="s">
        <v>1767</v>
      </c>
      <c r="Y251" t="s">
        <v>2211</v>
      </c>
      <c r="Z251" s="3">
        <v>2.2250000000000001</v>
      </c>
      <c r="AK251" t="s">
        <v>2207</v>
      </c>
      <c r="AL251" t="s">
        <v>1685</v>
      </c>
      <c r="AM251">
        <v>0.5</v>
      </c>
    </row>
    <row r="252" spans="1:39" x14ac:dyDescent="0.35">
      <c r="A252" s="6" t="e">
        <f>IF('Coach Card'!$T$5="",IF($B$1="Solo",IF(L251="","",L251),IF($B$1="MSolo",IF(O251="","",O251),IF($B$1="Duet",IF(R251="","",R251),IF($B$1="Mixed",IF(U251="","",U251),IF(X251="","",X251))))),IF($B$1="Solo",IF(L751="","",L751),IF($B$1="MSolo",IF(L751="","",L751),IF($B$1="Duet",IF(O751="","",O751),IF($B$1="Mixed",IF(R751="","",R751),IF(U751="","",U751))))))</f>
        <v>#N/A</v>
      </c>
      <c r="B252" s="3" t="e">
        <f>IF('Coach Card'!$T$5="",IF($B$1="Solo",IF(M251="","",M251),IF($B$1="MSolo",IF(P251="","",P251),IF($B$1="Duet",IF(S251="","",S251),IF($B$1="Mixed",IF(V251="","",V251),IF(Y251="","",Y251))))),IF($B$1="Solo",IF(M751="","",M751),IF($B$1="MSolo",IF(M751="","",M751),IF($B$1="Duet",IF(P751="","",P751),IF($B$1="Mixed",IF(S751="","",S751),IF(V751="","",V751))))))</f>
        <v>#N/A</v>
      </c>
      <c r="C252" s="3" t="e">
        <f>IF('Coach Card'!$T$5="",IF($B$1="Solo",IF(N251="","",N251),IF($B$1="MSolo",IF(Q251="","",Q251),IF($B$1="Duet",IF(T251="","",T251),IF($B$1="Mixed",IF(W251="","",W251),IF(Z251="","",Z251))))),IF($B$1="Solo",IF(N751="","",N751),IF($B$1="MSolo",IF(N751="","",N751),IF($B$1="Duet",IF(Q751="","",Q751),IF($B$1="Mixed",IF(T751="","",T751),IF(W751="","",W751))))))</f>
        <v>#N/A</v>
      </c>
      <c r="D252" s="3" t="e">
        <f>IF('Coach Card'!$T$5="",IF($D$1="Team",IF(AG251="","",AG251),""),IF($D$1="Team",IF(AD751="","",AD751),""))</f>
        <v>#N/A</v>
      </c>
      <c r="E252" s="3" t="e">
        <f>IF('Coach Card'!$T$5="",IF($D$1="Team",IF(AH251="","",AH251),""),IF($D$1="Team",IF(AE751="","",AE751),""))</f>
        <v>#N/A</v>
      </c>
      <c r="O252" s="1"/>
      <c r="R252" s="1" t="s">
        <v>1631</v>
      </c>
      <c r="S252" t="s">
        <v>2224</v>
      </c>
      <c r="T252" s="3">
        <v>0.22500000000000001</v>
      </c>
      <c r="U252" s="1" t="s">
        <v>1631</v>
      </c>
      <c r="V252" t="s">
        <v>2224</v>
      </c>
      <c r="W252" s="3">
        <v>0.22500000000000001</v>
      </c>
      <c r="X252" s="1" t="s">
        <v>1767</v>
      </c>
      <c r="Y252" t="s">
        <v>2212</v>
      </c>
      <c r="Z252" s="3">
        <v>2.6749999999999998</v>
      </c>
      <c r="AK252" t="s">
        <v>2208</v>
      </c>
      <c r="AL252" t="s">
        <v>1686</v>
      </c>
      <c r="AM252">
        <v>0.5</v>
      </c>
    </row>
    <row r="253" spans="1:39" x14ac:dyDescent="0.35">
      <c r="A253" s="6" t="e">
        <f>IF('Coach Card'!$T$5="",IF($B$1="Solo",IF(L252="","",L252),IF($B$1="MSolo",IF(O252="","",O252),IF($B$1="Duet",IF(R252="","",R252),IF($B$1="Mixed",IF(U252="","",U252),IF(X252="","",X252))))),IF($B$1="Solo",IF(L752="","",L752),IF($B$1="MSolo",IF(L752="","",L752),IF($B$1="Duet",IF(O752="","",O752),IF($B$1="Mixed",IF(R752="","",R752),IF(U752="","",U752))))))</f>
        <v>#N/A</v>
      </c>
      <c r="B253" s="3" t="e">
        <f>IF('Coach Card'!$T$5="",IF($B$1="Solo",IF(M252="","",M252),IF($B$1="MSolo",IF(P252="","",P252),IF($B$1="Duet",IF(S252="","",S252),IF($B$1="Mixed",IF(V252="","",V252),IF(Y252="","",Y252))))),IF($B$1="Solo",IF(M752="","",M752),IF($B$1="MSolo",IF(M752="","",M752),IF($B$1="Duet",IF(P752="","",P752),IF($B$1="Mixed",IF(S752="","",S752),IF(V752="","",V752))))))</f>
        <v>#N/A</v>
      </c>
      <c r="C253" s="3" t="e">
        <f>IF('Coach Card'!$T$5="",IF($B$1="Solo",IF(N252="","",N252),IF($B$1="MSolo",IF(Q252="","",Q252),IF($B$1="Duet",IF(T252="","",T252),IF($B$1="Mixed",IF(W252="","",W252),IF(Z252="","",Z252))))),IF($B$1="Solo",IF(N752="","",N752),IF($B$1="MSolo",IF(N752="","",N752),IF($B$1="Duet",IF(Q752="","",Q752),IF($B$1="Mixed",IF(T752="","",T752),IF(W752="","",W752))))))</f>
        <v>#N/A</v>
      </c>
      <c r="D253" s="3" t="e">
        <f>IF('Coach Card'!$T$5="",IF($D$1="Team",IF(AG252="","",AG252),""),IF($D$1="Team",IF(AD752="","",AD752),""))</f>
        <v>#N/A</v>
      </c>
      <c r="E253" s="3" t="e">
        <f>IF('Coach Card'!$T$5="",IF($D$1="Team",IF(AH252="","",AH252),""),IF($D$1="Team",IF(AE752="","",AE752),""))</f>
        <v>#N/A</v>
      </c>
      <c r="O253" s="1"/>
      <c r="R253" s="1" t="s">
        <v>1631</v>
      </c>
      <c r="S253" t="s">
        <v>2225</v>
      </c>
      <c r="T253" s="3">
        <v>0.22500000000000001</v>
      </c>
      <c r="U253" s="1" t="s">
        <v>1631</v>
      </c>
      <c r="V253" t="s">
        <v>2225</v>
      </c>
      <c r="W253" s="3">
        <v>0.22500000000000001</v>
      </c>
      <c r="X253" s="1" t="s">
        <v>1767</v>
      </c>
      <c r="Y253" t="s">
        <v>2213</v>
      </c>
      <c r="Z253" s="3">
        <v>2.4750000000000001</v>
      </c>
      <c r="AK253" t="s">
        <v>2209</v>
      </c>
      <c r="AL253" t="s">
        <v>1687</v>
      </c>
      <c r="AM253">
        <v>0.5</v>
      </c>
    </row>
    <row r="254" spans="1:39" x14ac:dyDescent="0.35">
      <c r="A254" s="6" t="e">
        <f>IF('Coach Card'!$T$5="",IF($B$1="Solo",IF(L253="","",L253),IF($B$1="MSolo",IF(O253="","",O253),IF($B$1="Duet",IF(R253="","",R253),IF($B$1="Mixed",IF(U253="","",U253),IF(X253="","",X253))))),IF($B$1="Solo",IF(L753="","",L753),IF($B$1="MSolo",IF(L753="","",L753),IF($B$1="Duet",IF(O753="","",O753),IF($B$1="Mixed",IF(R753="","",R753),IF(U753="","",U753))))))</f>
        <v>#N/A</v>
      </c>
      <c r="B254" s="3" t="e">
        <f>IF('Coach Card'!$T$5="",IF($B$1="Solo",IF(M253="","",M253),IF($B$1="MSolo",IF(P253="","",P253),IF($B$1="Duet",IF(S253="","",S253),IF($B$1="Mixed",IF(V253="","",V253),IF(Y253="","",Y253))))),IF($B$1="Solo",IF(M753="","",M753),IF($B$1="MSolo",IF(M753="","",M753),IF($B$1="Duet",IF(P753="","",P753),IF($B$1="Mixed",IF(S753="","",S753),IF(V753="","",V753))))))</f>
        <v>#N/A</v>
      </c>
      <c r="C254" s="3" t="e">
        <f>IF('Coach Card'!$T$5="",IF($B$1="Solo",IF(N253="","",N253),IF($B$1="MSolo",IF(Q253="","",Q253),IF($B$1="Duet",IF(T253="","",T253),IF($B$1="Mixed",IF(W253="","",W253),IF(Z253="","",Z253))))),IF($B$1="Solo",IF(N753="","",N753),IF($B$1="MSolo",IF(N753="","",N753),IF($B$1="Duet",IF(Q753="","",Q753),IF($B$1="Mixed",IF(T753="","",T753),IF(W753="","",W753))))))</f>
        <v>#N/A</v>
      </c>
      <c r="D254" s="3" t="e">
        <f>IF('Coach Card'!$T$5="",IF($D$1="Team",IF(AG253="","",AG253),""),IF($D$1="Team",IF(AD753="","",AD753),""))</f>
        <v>#N/A</v>
      </c>
      <c r="E254" s="3" t="e">
        <f>IF('Coach Card'!$T$5="",IF($D$1="Team",IF(AH253="","",AH253),""),IF($D$1="Team",IF(AE753="","",AE753),""))</f>
        <v>#N/A</v>
      </c>
      <c r="O254" s="1"/>
      <c r="R254" s="1" t="s">
        <v>1631</v>
      </c>
      <c r="S254" t="s">
        <v>2226</v>
      </c>
      <c r="T254" s="3">
        <v>0.32500000000000001</v>
      </c>
      <c r="U254" s="1" t="s">
        <v>1631</v>
      </c>
      <c r="V254" t="s">
        <v>2226</v>
      </c>
      <c r="W254" s="3">
        <v>0.32500000000000001</v>
      </c>
      <c r="X254" s="1" t="s">
        <v>1767</v>
      </c>
      <c r="Y254" t="s">
        <v>2214</v>
      </c>
      <c r="Z254" s="3">
        <v>2.9750000000000001</v>
      </c>
      <c r="AK254" t="s">
        <v>2210</v>
      </c>
      <c r="AL254" t="s">
        <v>1688</v>
      </c>
      <c r="AM254">
        <v>0.5</v>
      </c>
    </row>
    <row r="255" spans="1:39" x14ac:dyDescent="0.35">
      <c r="A255" s="6" t="e">
        <f>IF('Coach Card'!$T$5="",IF($B$1="Solo",IF(L254="","",L254),IF($B$1="MSolo",IF(O254="","",O254),IF($B$1="Duet",IF(R254="","",R254),IF($B$1="Mixed",IF(U254="","",U254),IF(X254="","",X254))))),IF($B$1="Solo",IF(L754="","",L754),IF($B$1="MSolo",IF(L754="","",L754),IF($B$1="Duet",IF(O754="","",O754),IF($B$1="Mixed",IF(R754="","",R754),IF(U754="","",U754))))))</f>
        <v>#N/A</v>
      </c>
      <c r="B255" s="3" t="e">
        <f>IF('Coach Card'!$T$5="",IF($B$1="Solo",IF(M254="","",M254),IF($B$1="MSolo",IF(P254="","",P254),IF($B$1="Duet",IF(S254="","",S254),IF($B$1="Mixed",IF(V254="","",V254),IF(Y254="","",Y254))))),IF($B$1="Solo",IF(M754="","",M754),IF($B$1="MSolo",IF(M754="","",M754),IF($B$1="Duet",IF(P754="","",P754),IF($B$1="Mixed",IF(S754="","",S754),IF(V754="","",V754))))))</f>
        <v>#N/A</v>
      </c>
      <c r="C255" s="3" t="e">
        <f>IF('Coach Card'!$T$5="",IF($B$1="Solo",IF(N254="","",N254),IF($B$1="MSolo",IF(Q254="","",Q254),IF($B$1="Duet",IF(T254="","",T254),IF($B$1="Mixed",IF(W254="","",W254),IF(Z254="","",Z254))))),IF($B$1="Solo",IF(N754="","",N754),IF($B$1="MSolo",IF(N754="","",N754),IF($B$1="Duet",IF(Q754="","",Q754),IF($B$1="Mixed",IF(T754="","",T754),IF(W754="","",W754))))))</f>
        <v>#N/A</v>
      </c>
      <c r="D255" s="3" t="e">
        <f>IF('Coach Card'!$T$5="",IF($D$1="Team",IF(AG254="","",AG254),""),IF($D$1="Team",IF(AD754="","",AD754),""))</f>
        <v>#N/A</v>
      </c>
      <c r="E255" s="3" t="e">
        <f>IF('Coach Card'!$T$5="",IF($D$1="Team",IF(AH254="","",AH254),""),IF($D$1="Team",IF(AE754="","",AE754),""))</f>
        <v>#N/A</v>
      </c>
      <c r="O255" s="1"/>
      <c r="R255" s="1" t="s">
        <v>1631</v>
      </c>
      <c r="S255" t="s">
        <v>2227</v>
      </c>
      <c r="T255" s="3">
        <v>0.4</v>
      </c>
      <c r="U255" s="1" t="s">
        <v>1631</v>
      </c>
      <c r="V255" t="s">
        <v>2227</v>
      </c>
      <c r="W255" s="3">
        <v>0.4</v>
      </c>
      <c r="X255" s="1" t="s">
        <v>1631</v>
      </c>
      <c r="Y255" t="s">
        <v>2215</v>
      </c>
      <c r="Z255" s="3">
        <v>2.5000000000000001E-2</v>
      </c>
      <c r="AK255" t="s">
        <v>2211</v>
      </c>
      <c r="AL255" t="s">
        <v>1689</v>
      </c>
      <c r="AM255">
        <v>0.5</v>
      </c>
    </row>
    <row r="256" spans="1:39" x14ac:dyDescent="0.35">
      <c r="A256" s="6" t="e">
        <f>IF('Coach Card'!$T$5="",IF($B$1="Solo",IF(L255="","",L255),IF($B$1="MSolo",IF(O255="","",O255),IF($B$1="Duet",IF(R255="","",R255),IF($B$1="Mixed",IF(U255="","",U255),IF(X255="","",X255))))),IF($B$1="Solo",IF(L755="","",L755),IF($B$1="MSolo",IF(L755="","",L755),IF($B$1="Duet",IF(O755="","",O755),IF($B$1="Mixed",IF(R755="","",R755),IF(U755="","",U755))))))</f>
        <v>#N/A</v>
      </c>
      <c r="B256" s="3" t="e">
        <f>IF('Coach Card'!$T$5="",IF($B$1="Solo",IF(M255="","",M255),IF($B$1="MSolo",IF(P255="","",P255),IF($B$1="Duet",IF(S255="","",S255),IF($B$1="Mixed",IF(V255="","",V255),IF(Y255="","",Y255))))),IF($B$1="Solo",IF(M755="","",M755),IF($B$1="MSolo",IF(M755="","",M755),IF($B$1="Duet",IF(P755="","",P755),IF($B$1="Mixed",IF(S755="","",S755),IF(V755="","",V755))))))</f>
        <v>#N/A</v>
      </c>
      <c r="C256" s="3" t="e">
        <f>IF('Coach Card'!$T$5="",IF($B$1="Solo",IF(N255="","",N255),IF($B$1="MSolo",IF(Q255="","",Q255),IF($B$1="Duet",IF(T255="","",T255),IF($B$1="Mixed",IF(W255="","",W255),IF(Z255="","",Z255))))),IF($B$1="Solo",IF(N755="","",N755),IF($B$1="MSolo",IF(N755="","",N755),IF($B$1="Duet",IF(Q755="","",Q755),IF($B$1="Mixed",IF(T755="","",T755),IF(W755="","",W755))))))</f>
        <v>#N/A</v>
      </c>
      <c r="D256" s="3" t="e">
        <f>IF('Coach Card'!$T$5="",IF($D$1="Team",IF(AG255="","",AG255),""),IF($D$1="Team",IF(AD755="","",AD755),""))</f>
        <v>#N/A</v>
      </c>
      <c r="E256" s="3" t="e">
        <f>IF('Coach Card'!$T$5="",IF($D$1="Team",IF(AH255="","",AH255),""),IF($D$1="Team",IF(AE755="","",AE755),""))</f>
        <v>#N/A</v>
      </c>
      <c r="O256" s="1"/>
      <c r="R256" s="1" t="s">
        <v>1631</v>
      </c>
      <c r="S256" t="s">
        <v>2228</v>
      </c>
      <c r="T256" s="3">
        <v>0.45</v>
      </c>
      <c r="U256" s="1" t="s">
        <v>1631</v>
      </c>
      <c r="V256" t="s">
        <v>2228</v>
      </c>
      <c r="W256" s="3">
        <v>0.45</v>
      </c>
      <c r="X256" s="1" t="s">
        <v>1631</v>
      </c>
      <c r="Y256" t="s">
        <v>2216</v>
      </c>
      <c r="Z256" s="3">
        <v>0.05</v>
      </c>
      <c r="AK256" t="s">
        <v>2212</v>
      </c>
      <c r="AL256" t="s">
        <v>1690</v>
      </c>
      <c r="AM256">
        <v>0.5</v>
      </c>
    </row>
    <row r="257" spans="1:39" x14ac:dyDescent="0.35">
      <c r="A257" s="6" t="e">
        <f>IF('Coach Card'!$T$5="",IF($B$1="Solo",IF(L256="","",L256),IF($B$1="MSolo",IF(O256="","",O256),IF($B$1="Duet",IF(R256="","",R256),IF($B$1="Mixed",IF(U256="","",U256),IF(X256="","",X256))))),IF($B$1="Solo",IF(L756="","",L756),IF($B$1="MSolo",IF(L756="","",L756),IF($B$1="Duet",IF(O756="","",O756),IF($B$1="Mixed",IF(R756="","",R756),IF(U756="","",U756))))))</f>
        <v>#N/A</v>
      </c>
      <c r="B257" s="3" t="e">
        <f>IF('Coach Card'!$T$5="",IF($B$1="Solo",IF(M256="","",M256),IF($B$1="MSolo",IF(P256="","",P256),IF($B$1="Duet",IF(S256="","",S256),IF($B$1="Mixed",IF(V256="","",V256),IF(Y256="","",Y256))))),IF($B$1="Solo",IF(M756="","",M756),IF($B$1="MSolo",IF(M756="","",M756),IF($B$1="Duet",IF(P756="","",P756),IF($B$1="Mixed",IF(S756="","",S756),IF(V756="","",V756))))))</f>
        <v>#N/A</v>
      </c>
      <c r="C257" s="3" t="e">
        <f>IF('Coach Card'!$T$5="",IF($B$1="Solo",IF(N256="","",N256),IF($B$1="MSolo",IF(Q256="","",Q256),IF($B$1="Duet",IF(T256="","",T256),IF($B$1="Mixed",IF(W256="","",W256),IF(Z256="","",Z256))))),IF($B$1="Solo",IF(N756="","",N756),IF($B$1="MSolo",IF(N756="","",N756),IF($B$1="Duet",IF(Q756="","",Q756),IF($B$1="Mixed",IF(T756="","",T756),IF(W756="","",W756))))))</f>
        <v>#N/A</v>
      </c>
      <c r="D257" s="3" t="e">
        <f>IF('Coach Card'!$T$5="",IF($D$1="Team",IF(AG256="","",AG256),""),IF($D$1="Team",IF(AD756="","",AD756),""))</f>
        <v>#N/A</v>
      </c>
      <c r="E257" s="3" t="e">
        <f>IF('Coach Card'!$T$5="",IF($D$1="Team",IF(AH256="","",AH256),""),IF($D$1="Team",IF(AE756="","",AE756),""))</f>
        <v>#N/A</v>
      </c>
      <c r="O257" s="1"/>
      <c r="R257" s="1" t="s">
        <v>1631</v>
      </c>
      <c r="S257" t="s">
        <v>2229</v>
      </c>
      <c r="T257" s="3">
        <v>0.57499999999999996</v>
      </c>
      <c r="U257" s="1" t="s">
        <v>1631</v>
      </c>
      <c r="V257" t="s">
        <v>2229</v>
      </c>
      <c r="W257" s="3">
        <v>0.57499999999999996</v>
      </c>
      <c r="X257" s="1" t="s">
        <v>1631</v>
      </c>
      <c r="Y257" t="s">
        <v>2217</v>
      </c>
      <c r="Z257" s="3">
        <v>0.05</v>
      </c>
      <c r="AK257" t="s">
        <v>2213</v>
      </c>
      <c r="AL257" t="s">
        <v>1691</v>
      </c>
      <c r="AM257">
        <v>0.5</v>
      </c>
    </row>
    <row r="258" spans="1:39" x14ac:dyDescent="0.35">
      <c r="A258" s="6" t="e">
        <f>IF('Coach Card'!$T$5="",IF($B$1="Solo",IF(L257="","",L257),IF($B$1="MSolo",IF(O257="","",O257),IF($B$1="Duet",IF(R257="","",R257),IF($B$1="Mixed",IF(U257="","",U257),IF(X257="","",X257))))),IF($B$1="Solo",IF(L757="","",L757),IF($B$1="MSolo",IF(L757="","",L757),IF($B$1="Duet",IF(O757="","",O757),IF($B$1="Mixed",IF(R757="","",R757),IF(U757="","",U757))))))</f>
        <v>#N/A</v>
      </c>
      <c r="B258" s="3" t="e">
        <f>IF('Coach Card'!$T$5="",IF($B$1="Solo",IF(M257="","",M257),IF($B$1="MSolo",IF(P257="","",P257),IF($B$1="Duet",IF(S257="","",S257),IF($B$1="Mixed",IF(V257="","",V257),IF(Y257="","",Y257))))),IF($B$1="Solo",IF(M757="","",M757),IF($B$1="MSolo",IF(M757="","",M757),IF($B$1="Duet",IF(P757="","",P757),IF($B$1="Mixed",IF(S757="","",S757),IF(V757="","",V757))))))</f>
        <v>#N/A</v>
      </c>
      <c r="C258" s="3" t="e">
        <f>IF('Coach Card'!$T$5="",IF($B$1="Solo",IF(N257="","",N257),IF($B$1="MSolo",IF(Q257="","",Q257),IF($B$1="Duet",IF(T257="","",T257),IF($B$1="Mixed",IF(W257="","",W257),IF(Z257="","",Z257))))),IF($B$1="Solo",IF(N757="","",N757),IF($B$1="MSolo",IF(N757="","",N757),IF($B$1="Duet",IF(Q757="","",Q757),IF($B$1="Mixed",IF(T757="","",T757),IF(W757="","",W757))))))</f>
        <v>#N/A</v>
      </c>
      <c r="D258" s="3" t="e">
        <f>IF('Coach Card'!$T$5="",IF($D$1="Team",IF(AG257="","",AG257),""),IF($D$1="Team",IF(AD757="","",AD757),""))</f>
        <v>#N/A</v>
      </c>
      <c r="E258" s="3" t="e">
        <f>IF('Coach Card'!$T$5="",IF($D$1="Team",IF(AH257="","",AH257),""),IF($D$1="Team",IF(AE757="","",AE757),""))</f>
        <v>#N/A</v>
      </c>
      <c r="O258" s="1"/>
      <c r="R258" s="1" t="s">
        <v>1631</v>
      </c>
      <c r="S258" t="s">
        <v>2459</v>
      </c>
      <c r="T258" s="3">
        <v>0.72499999999999998</v>
      </c>
      <c r="U258" s="1" t="s">
        <v>1631</v>
      </c>
      <c r="V258" t="s">
        <v>2459</v>
      </c>
      <c r="W258" s="3">
        <v>0.72499999999999998</v>
      </c>
      <c r="X258" s="1" t="s">
        <v>1631</v>
      </c>
      <c r="Y258" t="s">
        <v>2218</v>
      </c>
      <c r="Z258" s="3">
        <v>0.05</v>
      </c>
      <c r="AK258" t="s">
        <v>2214</v>
      </c>
      <c r="AL258" t="s">
        <v>1692</v>
      </c>
      <c r="AM258">
        <v>0.5</v>
      </c>
    </row>
    <row r="259" spans="1:39" x14ac:dyDescent="0.35">
      <c r="A259" s="6" t="e">
        <f>IF('Coach Card'!$T$5="",IF($B$1="Solo",IF(L258="","",L258),IF($B$1="MSolo",IF(O258="","",O258),IF($B$1="Duet",IF(R258="","",R258),IF($B$1="Mixed",IF(U258="","",U258),IF(X258="","",X258))))),IF($B$1="Solo",IF(L758="","",L758),IF($B$1="MSolo",IF(L758="","",L758),IF($B$1="Duet",IF(O758="","",O758),IF($B$1="Mixed",IF(R758="","",R758),IF(U758="","",U758))))))</f>
        <v>#N/A</v>
      </c>
      <c r="B259" s="3" t="e">
        <f>IF('Coach Card'!$T$5="",IF($B$1="Solo",IF(M258="","",M258),IF($B$1="MSolo",IF(P258="","",P258),IF($B$1="Duet",IF(S258="","",S258),IF($B$1="Mixed",IF(V258="","",V258),IF(Y258="","",Y258))))),IF($B$1="Solo",IF(M758="","",M758),IF($B$1="MSolo",IF(M758="","",M758),IF($B$1="Duet",IF(P758="","",P758),IF($B$1="Mixed",IF(S758="","",S758),IF(V758="","",V758))))))</f>
        <v>#N/A</v>
      </c>
      <c r="C259" s="3" t="e">
        <f>IF('Coach Card'!$T$5="",IF($B$1="Solo",IF(N258="","",N258),IF($B$1="MSolo",IF(Q258="","",Q258),IF($B$1="Duet",IF(T258="","",T258),IF($B$1="Mixed",IF(W258="","",W258),IF(Z258="","",Z258))))),IF($B$1="Solo",IF(N758="","",N758),IF($B$1="MSolo",IF(N758="","",N758),IF($B$1="Duet",IF(Q758="","",Q758),IF($B$1="Mixed",IF(T758="","",T758),IF(W758="","",W758))))))</f>
        <v>#N/A</v>
      </c>
      <c r="D259" s="3" t="e">
        <f>IF('Coach Card'!$T$5="",IF($D$1="Team",IF(AG258="","",AG258),""),IF($D$1="Team",IF(AD758="","",AD758),""))</f>
        <v>#N/A</v>
      </c>
      <c r="E259" s="3" t="e">
        <f>IF('Coach Card'!$T$5="",IF($D$1="Team",IF(AH258="","",AH258),""),IF($D$1="Team",IF(AE758="","",AE758),""))</f>
        <v>#N/A</v>
      </c>
      <c r="O259" s="1"/>
      <c r="R259" s="1" t="s">
        <v>1631</v>
      </c>
      <c r="S259" t="s">
        <v>2460</v>
      </c>
      <c r="T259" s="3">
        <v>0.82499999999999996</v>
      </c>
      <c r="U259" s="1" t="s">
        <v>1631</v>
      </c>
      <c r="V259" t="s">
        <v>2460</v>
      </c>
      <c r="W259" s="3">
        <v>0.82499999999999996</v>
      </c>
      <c r="X259" s="1" t="s">
        <v>1631</v>
      </c>
      <c r="Y259" t="s">
        <v>2219</v>
      </c>
      <c r="Z259" s="3">
        <v>0.05</v>
      </c>
      <c r="AK259" t="s">
        <v>2215</v>
      </c>
      <c r="AL259" t="s">
        <v>1693</v>
      </c>
      <c r="AM259">
        <v>0.5</v>
      </c>
    </row>
    <row r="260" spans="1:39" x14ac:dyDescent="0.35">
      <c r="A260" s="6" t="e">
        <f>IF('Coach Card'!$T$5="",IF($B$1="Solo",IF(L259="","",L259),IF($B$1="MSolo",IF(O259="","",O259),IF($B$1="Duet",IF(R259="","",R259),IF($B$1="Mixed",IF(U259="","",U259),IF(X259="","",X259))))),IF($B$1="Solo",IF(L759="","",L759),IF($B$1="MSolo",IF(L759="","",L759),IF($B$1="Duet",IF(O759="","",O759),IF($B$1="Mixed",IF(R759="","",R759),IF(U759="","",U759))))))</f>
        <v>#N/A</v>
      </c>
      <c r="B260" s="3" t="e">
        <f>IF('Coach Card'!$T$5="",IF($B$1="Solo",IF(M259="","",M259),IF($B$1="MSolo",IF(P259="","",P259),IF($B$1="Duet",IF(S259="","",S259),IF($B$1="Mixed",IF(V259="","",V259),IF(Y259="","",Y259))))),IF($B$1="Solo",IF(M759="","",M759),IF($B$1="MSolo",IF(M759="","",M759),IF($B$1="Duet",IF(P759="","",P759),IF($B$1="Mixed",IF(S759="","",S759),IF(V759="","",V759))))))</f>
        <v>#N/A</v>
      </c>
      <c r="C260" s="3" t="e">
        <f>IF('Coach Card'!$T$5="",IF($B$1="Solo",IF(N259="","",N259),IF($B$1="MSolo",IF(Q259="","",Q259),IF($B$1="Duet",IF(T259="","",T259),IF($B$1="Mixed",IF(W259="","",W259),IF(Z259="","",Z259))))),IF($B$1="Solo",IF(N759="","",N759),IF($B$1="MSolo",IF(N759="","",N759),IF($B$1="Duet",IF(Q759="","",Q759),IF($B$1="Mixed",IF(T759="","",T759),IF(W759="","",W759))))))</f>
        <v>#N/A</v>
      </c>
      <c r="D260" s="3" t="e">
        <f>IF('Coach Card'!$T$5="",IF($D$1="Team",IF(AG259="","",AG259),""),IF($D$1="Team",IF(AD759="","",AD759),""))</f>
        <v>#N/A</v>
      </c>
      <c r="E260" s="3" t="e">
        <f>IF('Coach Card'!$T$5="",IF($D$1="Team",IF(AH259="","",AH259),""),IF($D$1="Team",IF(AE759="","",AE759),""))</f>
        <v>#N/A</v>
      </c>
      <c r="O260" s="1"/>
      <c r="R260" s="1" t="s">
        <v>624</v>
      </c>
      <c r="S260" t="s">
        <v>2230</v>
      </c>
      <c r="T260" s="3">
        <v>2.5000000000000001E-2</v>
      </c>
      <c r="U260" s="1" t="s">
        <v>624</v>
      </c>
      <c r="V260" t="s">
        <v>2230</v>
      </c>
      <c r="W260" s="3">
        <v>2.5000000000000001E-2</v>
      </c>
      <c r="X260" s="1" t="s">
        <v>1631</v>
      </c>
      <c r="Y260" t="s">
        <v>2220</v>
      </c>
      <c r="Z260" s="3">
        <v>7.4999999999999997E-2</v>
      </c>
      <c r="AK260" t="s">
        <v>2216</v>
      </c>
      <c r="AL260" t="s">
        <v>1800</v>
      </c>
      <c r="AM260">
        <v>0.5</v>
      </c>
    </row>
    <row r="261" spans="1:39" x14ac:dyDescent="0.35">
      <c r="A261" s="6" t="e">
        <f>IF('Coach Card'!$T$5="",IF($B$1="Solo",IF(L260="","",L260),IF($B$1="MSolo",IF(O260="","",O260),IF($B$1="Duet",IF(R260="","",R260),IF($B$1="Mixed",IF(U260="","",U260),IF(X260="","",X260))))),IF($B$1="Solo",IF(L760="","",L760),IF($B$1="MSolo",IF(L760="","",L760),IF($B$1="Duet",IF(O760="","",O760),IF($B$1="Mixed",IF(R760="","",R760),IF(U760="","",U760))))))</f>
        <v>#N/A</v>
      </c>
      <c r="B261" s="3" t="e">
        <f>IF('Coach Card'!$T$5="",IF($B$1="Solo",IF(M260="","",M260),IF($B$1="MSolo",IF(P260="","",P260),IF($B$1="Duet",IF(S260="","",S260),IF($B$1="Mixed",IF(V260="","",V260),IF(Y260="","",Y260))))),IF($B$1="Solo",IF(M760="","",M760),IF($B$1="MSolo",IF(M760="","",M760),IF($B$1="Duet",IF(P760="","",P760),IF($B$1="Mixed",IF(S760="","",S760),IF(V760="","",V760))))))</f>
        <v>#N/A</v>
      </c>
      <c r="C261" s="3" t="e">
        <f>IF('Coach Card'!$T$5="",IF($B$1="Solo",IF(N260="","",N260),IF($B$1="MSolo",IF(Q260="","",Q260),IF($B$1="Duet",IF(T260="","",T260),IF($B$1="Mixed",IF(W260="","",W260),IF(Z260="","",Z260))))),IF($B$1="Solo",IF(N760="","",N760),IF($B$1="MSolo",IF(N760="","",N760),IF($B$1="Duet",IF(Q760="","",Q760),IF($B$1="Mixed",IF(T760="","",T760),IF(W760="","",W760))))))</f>
        <v>#N/A</v>
      </c>
      <c r="D261" s="3" t="e">
        <f>IF('Coach Card'!$T$5="",IF($D$1="Team",IF(AG260="","",AG260),""),IF($D$1="Team",IF(AD760="","",AD760),""))</f>
        <v>#N/A</v>
      </c>
      <c r="E261" s="3" t="e">
        <f>IF('Coach Card'!$T$5="",IF($D$1="Team",IF(AH260="","",AH260),""),IF($D$1="Team",IF(AE760="","",AE760),""))</f>
        <v>#N/A</v>
      </c>
      <c r="O261" s="1"/>
      <c r="R261" s="1" t="s">
        <v>624</v>
      </c>
      <c r="S261" t="s">
        <v>2231</v>
      </c>
      <c r="T261" s="3">
        <v>0.05</v>
      </c>
      <c r="U261" s="1" t="s">
        <v>624</v>
      </c>
      <c r="V261" t="s">
        <v>2231</v>
      </c>
      <c r="W261" s="3">
        <v>0.05</v>
      </c>
      <c r="X261" s="1" t="s">
        <v>1631</v>
      </c>
      <c r="Y261" t="s">
        <v>2221</v>
      </c>
      <c r="Z261" s="3">
        <v>7.4999999999999997E-2</v>
      </c>
      <c r="AK261" t="s">
        <v>2217</v>
      </c>
      <c r="AL261" t="s">
        <v>1801</v>
      </c>
      <c r="AM261">
        <v>0.5</v>
      </c>
    </row>
    <row r="262" spans="1:39" x14ac:dyDescent="0.35">
      <c r="A262" s="6" t="e">
        <f>IF('Coach Card'!$T$5="",IF($B$1="Solo",IF(L261="","",L261),IF($B$1="MSolo",IF(O261="","",O261),IF($B$1="Duet",IF(R261="","",R261),IF($B$1="Mixed",IF(U261="","",U261),IF(X261="","",X261))))),IF($B$1="Solo",IF(L761="","",L761),IF($B$1="MSolo",IF(L761="","",L761),IF($B$1="Duet",IF(O761="","",O761),IF($B$1="Mixed",IF(R761="","",R761),IF(U761="","",U761))))))</f>
        <v>#N/A</v>
      </c>
      <c r="B262" s="3" t="e">
        <f>IF('Coach Card'!$T$5="",IF($B$1="Solo",IF(M261="","",M261),IF($B$1="MSolo",IF(P261="","",P261),IF($B$1="Duet",IF(S261="","",S261),IF($B$1="Mixed",IF(V261="","",V261),IF(Y261="","",Y261))))),IF($B$1="Solo",IF(M761="","",M761),IF($B$1="MSolo",IF(M761="","",M761),IF($B$1="Duet",IF(P761="","",P761),IF($B$1="Mixed",IF(S761="","",S761),IF(V761="","",V761))))))</f>
        <v>#N/A</v>
      </c>
      <c r="C262" s="3" t="e">
        <f>IF('Coach Card'!$T$5="",IF($B$1="Solo",IF(N261="","",N261),IF($B$1="MSolo",IF(Q261="","",Q261),IF($B$1="Duet",IF(T261="","",T261),IF($B$1="Mixed",IF(W261="","",W261),IF(Z261="","",Z261))))),IF($B$1="Solo",IF(N761="","",N761),IF($B$1="MSolo",IF(N761="","",N761),IF($B$1="Duet",IF(Q761="","",Q761),IF($B$1="Mixed",IF(T761="","",T761),IF(W761="","",W761))))))</f>
        <v>#N/A</v>
      </c>
      <c r="D262" s="3" t="e">
        <f>IF('Coach Card'!$T$5="",IF($D$1="Team",IF(AG261="","",AG261),""),IF($D$1="Team",IF(AD761="","",AD761),""))</f>
        <v>#N/A</v>
      </c>
      <c r="E262" s="3" t="e">
        <f>IF('Coach Card'!$T$5="",IF($D$1="Team",IF(AH261="","",AH261),""),IF($D$1="Team",IF(AE761="","",AE761),""))</f>
        <v>#N/A</v>
      </c>
      <c r="O262" s="1"/>
      <c r="R262" s="1" t="s">
        <v>624</v>
      </c>
      <c r="S262" t="s">
        <v>2232</v>
      </c>
      <c r="T262" s="3">
        <v>0.05</v>
      </c>
      <c r="U262" s="1" t="s">
        <v>624</v>
      </c>
      <c r="V262" t="s">
        <v>2232</v>
      </c>
      <c r="W262" s="3">
        <v>0.05</v>
      </c>
      <c r="X262" s="1" t="s">
        <v>1631</v>
      </c>
      <c r="Y262" t="s">
        <v>2222</v>
      </c>
      <c r="Z262" s="3">
        <v>0.1</v>
      </c>
      <c r="AK262" t="s">
        <v>2218</v>
      </c>
      <c r="AL262" t="s">
        <v>1802</v>
      </c>
      <c r="AM262">
        <v>0.5</v>
      </c>
    </row>
    <row r="263" spans="1:39" x14ac:dyDescent="0.35">
      <c r="A263" s="6" t="e">
        <f>IF('Coach Card'!$T$5="",IF($B$1="Solo",IF(L262="","",L262),IF($B$1="MSolo",IF(O262="","",O262),IF($B$1="Duet",IF(R262="","",R262),IF($B$1="Mixed",IF(U262="","",U262),IF(X262="","",X262))))),IF($B$1="Solo",IF(L762="","",L762),IF($B$1="MSolo",IF(L762="","",L762),IF($B$1="Duet",IF(O762="","",O762),IF($B$1="Mixed",IF(R762="","",R762),IF(U762="","",U762))))))</f>
        <v>#N/A</v>
      </c>
      <c r="B263" s="3" t="e">
        <f>IF('Coach Card'!$T$5="",IF($B$1="Solo",IF(M262="","",M262),IF($B$1="MSolo",IF(P262="","",P262),IF($B$1="Duet",IF(S262="","",S262),IF($B$1="Mixed",IF(V262="","",V262),IF(Y262="","",Y262))))),IF($B$1="Solo",IF(M762="","",M762),IF($B$1="MSolo",IF(M762="","",M762),IF($B$1="Duet",IF(P762="","",P762),IF($B$1="Mixed",IF(S762="","",S762),IF(V762="","",V762))))))</f>
        <v>#N/A</v>
      </c>
      <c r="C263" s="3" t="e">
        <f>IF('Coach Card'!$T$5="",IF($B$1="Solo",IF(N262="","",N262),IF($B$1="MSolo",IF(Q262="","",Q262),IF($B$1="Duet",IF(T262="","",T262),IF($B$1="Mixed",IF(W262="","",W262),IF(Z262="","",Z262))))),IF($B$1="Solo",IF(N762="","",N762),IF($B$1="MSolo",IF(N762="","",N762),IF($B$1="Duet",IF(Q762="","",Q762),IF($B$1="Mixed",IF(T762="","",T762),IF(W762="","",W762))))))</f>
        <v>#N/A</v>
      </c>
      <c r="D263" s="3" t="e">
        <f>IF('Coach Card'!$T$5="",IF($D$1="Team",IF(AG262="","",AG262),""),IF($D$1="Team",IF(AD762="","",AD762),""))</f>
        <v>#N/A</v>
      </c>
      <c r="E263" s="3" t="e">
        <f>IF('Coach Card'!$T$5="",IF($D$1="Team",IF(AH262="","",AH262),""),IF($D$1="Team",IF(AE762="","",AE762),""))</f>
        <v>#N/A</v>
      </c>
      <c r="O263" s="1"/>
      <c r="R263" s="1" t="s">
        <v>624</v>
      </c>
      <c r="S263" t="s">
        <v>2233</v>
      </c>
      <c r="T263" s="3">
        <v>0.05</v>
      </c>
      <c r="U263" s="1" t="s">
        <v>624</v>
      </c>
      <c r="V263" t="s">
        <v>2233</v>
      </c>
      <c r="W263" s="3">
        <v>0.05</v>
      </c>
      <c r="X263" s="1" t="s">
        <v>1631</v>
      </c>
      <c r="Y263" t="s">
        <v>2223</v>
      </c>
      <c r="Z263" s="3">
        <v>0.1</v>
      </c>
      <c r="AK263" t="s">
        <v>2219</v>
      </c>
      <c r="AL263" t="s">
        <v>1803</v>
      </c>
      <c r="AM263">
        <v>0.5</v>
      </c>
    </row>
    <row r="264" spans="1:39" x14ac:dyDescent="0.35">
      <c r="A264" s="6" t="e">
        <f>IF('Coach Card'!$T$5="",IF($B$1="Solo",IF(L263="","",L263),IF($B$1="MSolo",IF(O263="","",O263),IF($B$1="Duet",IF(R263="","",R263),IF($B$1="Mixed",IF(U263="","",U263),IF(X263="","",X263))))),IF($B$1="Solo",IF(L763="","",L763),IF($B$1="MSolo",IF(L763="","",L763),IF($B$1="Duet",IF(O763="","",O763),IF($B$1="Mixed",IF(R763="","",R763),IF(U763="","",U763))))))</f>
        <v>#N/A</v>
      </c>
      <c r="B264" s="3" t="e">
        <f>IF('Coach Card'!$T$5="",IF($B$1="Solo",IF(M263="","",M263),IF($B$1="MSolo",IF(P263="","",P263),IF($B$1="Duet",IF(S263="","",S263),IF($B$1="Mixed",IF(V263="","",V263),IF(Y263="","",Y263))))),IF($B$1="Solo",IF(M763="","",M763),IF($B$1="MSolo",IF(M763="","",M763),IF($B$1="Duet",IF(P763="","",P763),IF($B$1="Mixed",IF(S763="","",S763),IF(V763="","",V763))))))</f>
        <v>#N/A</v>
      </c>
      <c r="C264" s="3" t="e">
        <f>IF('Coach Card'!$T$5="",IF($B$1="Solo",IF(N263="","",N263),IF($B$1="MSolo",IF(Q263="","",Q263),IF($B$1="Duet",IF(T263="","",T263),IF($B$1="Mixed",IF(W263="","",W263),IF(Z263="","",Z263))))),IF($B$1="Solo",IF(N763="","",N763),IF($B$1="MSolo",IF(N763="","",N763),IF($B$1="Duet",IF(Q763="","",Q763),IF($B$1="Mixed",IF(T763="","",T763),IF(W763="","",W763))))))</f>
        <v>#N/A</v>
      </c>
      <c r="D264" s="3" t="e">
        <f>IF('Coach Card'!$T$5="",IF($D$1="Team",IF(AG263="","",AG263),""),IF($D$1="Team",IF(AD763="","",AD763),""))</f>
        <v>#N/A</v>
      </c>
      <c r="E264" s="3" t="e">
        <f>IF('Coach Card'!$T$5="",IF($D$1="Team",IF(AH263="","",AH263),""),IF($D$1="Team",IF(AE763="","",AE763),""))</f>
        <v>#N/A</v>
      </c>
      <c r="O264" s="1"/>
      <c r="R264" s="1" t="s">
        <v>624</v>
      </c>
      <c r="S264" t="s">
        <v>2234</v>
      </c>
      <c r="T264" s="3">
        <v>0.1</v>
      </c>
      <c r="U264" s="1" t="s">
        <v>624</v>
      </c>
      <c r="V264" t="s">
        <v>2234</v>
      </c>
      <c r="W264" s="3">
        <v>0.1</v>
      </c>
      <c r="X264" s="1" t="s">
        <v>1631</v>
      </c>
      <c r="Y264" t="s">
        <v>2224</v>
      </c>
      <c r="Z264" s="3">
        <v>0.22500000000000001</v>
      </c>
      <c r="AK264" t="s">
        <v>2220</v>
      </c>
      <c r="AL264" t="s">
        <v>1804</v>
      </c>
      <c r="AM264">
        <v>0.5</v>
      </c>
    </row>
    <row r="265" spans="1:39" x14ac:dyDescent="0.35">
      <c r="A265" s="6" t="e">
        <f>IF('Coach Card'!$T$5="",IF($B$1="Solo",IF(L264="","",L264),IF($B$1="MSolo",IF(O264="","",O264),IF($B$1="Duet",IF(R264="","",R264),IF($B$1="Mixed",IF(U264="","",U264),IF(X264="","",X264))))),IF($B$1="Solo",IF(L764="","",L764),IF($B$1="MSolo",IF(L764="","",L764),IF($B$1="Duet",IF(O764="","",O764),IF($B$1="Mixed",IF(R764="","",R764),IF(U764="","",U764))))))</f>
        <v>#N/A</v>
      </c>
      <c r="B265" s="3" t="e">
        <f>IF('Coach Card'!$T$5="",IF($B$1="Solo",IF(M264="","",M264),IF($B$1="MSolo",IF(P264="","",P264),IF($B$1="Duet",IF(S264="","",S264),IF($B$1="Mixed",IF(V264="","",V264),IF(Y264="","",Y264))))),IF($B$1="Solo",IF(M764="","",M764),IF($B$1="MSolo",IF(M764="","",M764),IF($B$1="Duet",IF(P764="","",P764),IF($B$1="Mixed",IF(S764="","",S764),IF(V764="","",V764))))))</f>
        <v>#N/A</v>
      </c>
      <c r="C265" s="3" t="e">
        <f>IF('Coach Card'!$T$5="",IF($B$1="Solo",IF(N264="","",N264),IF($B$1="MSolo",IF(Q264="","",Q264),IF($B$1="Duet",IF(T264="","",T264),IF($B$1="Mixed",IF(W264="","",W264),IF(Z264="","",Z264))))),IF($B$1="Solo",IF(N764="","",N764),IF($B$1="MSolo",IF(N764="","",N764),IF($B$1="Duet",IF(Q764="","",Q764),IF($B$1="Mixed",IF(T764="","",T764),IF(W764="","",W764))))))</f>
        <v>#N/A</v>
      </c>
      <c r="D265" s="3" t="e">
        <f>IF('Coach Card'!$T$5="",IF($D$1="Team",IF(AG264="","",AG264),""),IF($D$1="Team",IF(AD764="","",AD764),""))</f>
        <v>#N/A</v>
      </c>
      <c r="E265" s="3" t="e">
        <f>IF('Coach Card'!$T$5="",IF($D$1="Team",IF(AH264="","",AH264),""),IF($D$1="Team",IF(AE764="","",AE764),""))</f>
        <v>#N/A</v>
      </c>
      <c r="O265" s="1"/>
      <c r="R265" s="1" t="s">
        <v>624</v>
      </c>
      <c r="S265" t="s">
        <v>2235</v>
      </c>
      <c r="T265" s="3">
        <v>0.1</v>
      </c>
      <c r="U265" s="1" t="s">
        <v>624</v>
      </c>
      <c r="V265" t="s">
        <v>2235</v>
      </c>
      <c r="W265" s="3">
        <v>0.1</v>
      </c>
      <c r="X265" s="1" t="s">
        <v>1631</v>
      </c>
      <c r="Y265" t="s">
        <v>2225</v>
      </c>
      <c r="Z265" s="3">
        <v>0.22500000000000001</v>
      </c>
      <c r="AK265" t="s">
        <v>2221</v>
      </c>
      <c r="AL265" t="s">
        <v>1805</v>
      </c>
      <c r="AM265">
        <v>0.5</v>
      </c>
    </row>
    <row r="266" spans="1:39" x14ac:dyDescent="0.35">
      <c r="A266" s="6" t="e">
        <f>IF('Coach Card'!$T$5="",IF($B$1="Solo",IF(L265="","",L265),IF($B$1="MSolo",IF(O265="","",O265),IF($B$1="Duet",IF(R265="","",R265),IF($B$1="Mixed",IF(U265="","",U265),IF(X265="","",X265))))),IF($B$1="Solo",IF(L765="","",L765),IF($B$1="MSolo",IF(L765="","",L765),IF($B$1="Duet",IF(O765="","",O765),IF($B$1="Mixed",IF(R765="","",R765),IF(U765="","",U765))))))</f>
        <v>#N/A</v>
      </c>
      <c r="B266" s="3" t="e">
        <f>IF('Coach Card'!$T$5="",IF($B$1="Solo",IF(M265="","",M265),IF($B$1="MSolo",IF(P265="","",P265),IF($B$1="Duet",IF(S265="","",S265),IF($B$1="Mixed",IF(V265="","",V265),IF(Y265="","",Y265))))),IF($B$1="Solo",IF(M765="","",M765),IF($B$1="MSolo",IF(M765="","",M765),IF($B$1="Duet",IF(P765="","",P765),IF($B$1="Mixed",IF(S765="","",S765),IF(V765="","",V765))))))</f>
        <v>#N/A</v>
      </c>
      <c r="C266" s="3" t="e">
        <f>IF('Coach Card'!$T$5="",IF($B$1="Solo",IF(N265="","",N265),IF($B$1="MSolo",IF(Q265="","",Q265),IF($B$1="Duet",IF(T265="","",T265),IF($B$1="Mixed",IF(W265="","",W265),IF(Z265="","",Z265))))),IF($B$1="Solo",IF(N765="","",N765),IF($B$1="MSolo",IF(N765="","",N765),IF($B$1="Duet",IF(Q765="","",Q765),IF($B$1="Mixed",IF(T765="","",T765),IF(W765="","",W765))))))</f>
        <v>#N/A</v>
      </c>
      <c r="D266" s="3" t="e">
        <f>IF('Coach Card'!$T$5="",IF($D$1="Team",IF(AG265="","",AG265),""),IF($D$1="Team",IF(AD765="","",AD765),""))</f>
        <v>#N/A</v>
      </c>
      <c r="E266" s="3" t="e">
        <f>IF('Coach Card'!$T$5="",IF($D$1="Team",IF(AH265="","",AH265),""),IF($D$1="Team",IF(AE765="","",AE765),""))</f>
        <v>#N/A</v>
      </c>
      <c r="O266" s="1"/>
      <c r="R266" s="1" t="s">
        <v>624</v>
      </c>
      <c r="S266" t="s">
        <v>2236</v>
      </c>
      <c r="T266" s="3">
        <v>0.1</v>
      </c>
      <c r="U266" s="1" t="s">
        <v>624</v>
      </c>
      <c r="V266" t="s">
        <v>2236</v>
      </c>
      <c r="W266" s="3">
        <v>0.1</v>
      </c>
      <c r="X266" s="1" t="s">
        <v>1631</v>
      </c>
      <c r="Y266" t="s">
        <v>2226</v>
      </c>
      <c r="Z266" s="3">
        <v>0.32500000000000001</v>
      </c>
      <c r="AK266" t="s">
        <v>2222</v>
      </c>
      <c r="AL266" t="s">
        <v>1806</v>
      </c>
      <c r="AM266">
        <v>0.5</v>
      </c>
    </row>
    <row r="267" spans="1:39" x14ac:dyDescent="0.35">
      <c r="A267" s="6" t="e">
        <f>IF('Coach Card'!$T$5="",IF($B$1="Solo",IF(L266="","",L266),IF($B$1="MSolo",IF(O266="","",O266),IF($B$1="Duet",IF(R266="","",R266),IF($B$1="Mixed",IF(U266="","",U266),IF(X266="","",X266))))),IF($B$1="Solo",IF(L766="","",L766),IF($B$1="MSolo",IF(L766="","",L766),IF($B$1="Duet",IF(O766="","",O766),IF($B$1="Mixed",IF(R766="","",R766),IF(U766="","",U766))))))</f>
        <v>#N/A</v>
      </c>
      <c r="B267" s="3" t="e">
        <f>IF('Coach Card'!$T$5="",IF($B$1="Solo",IF(M266="","",M266),IF($B$1="MSolo",IF(P266="","",P266),IF($B$1="Duet",IF(S266="","",S266),IF($B$1="Mixed",IF(V266="","",V266),IF(Y266="","",Y266))))),IF($B$1="Solo",IF(M766="","",M766),IF($B$1="MSolo",IF(M766="","",M766),IF($B$1="Duet",IF(P766="","",P766),IF($B$1="Mixed",IF(S766="","",S766),IF(V766="","",V766))))))</f>
        <v>#N/A</v>
      </c>
      <c r="C267" s="3" t="e">
        <f>IF('Coach Card'!$T$5="",IF($B$1="Solo",IF(N266="","",N266),IF($B$1="MSolo",IF(Q266="","",Q266),IF($B$1="Duet",IF(T266="","",T266),IF($B$1="Mixed",IF(W266="","",W266),IF(Z266="","",Z266))))),IF($B$1="Solo",IF(N766="","",N766),IF($B$1="MSolo",IF(N766="","",N766),IF($B$1="Duet",IF(Q766="","",Q766),IF($B$1="Mixed",IF(T766="","",T766),IF(W766="","",W766))))))</f>
        <v>#N/A</v>
      </c>
      <c r="D267" s="3" t="e">
        <f>IF('Coach Card'!$T$5="",IF($D$1="Team",IF(AG266="","",AG266),""),IF($D$1="Team",IF(AD766="","",AD766),""))</f>
        <v>#N/A</v>
      </c>
      <c r="E267" s="3" t="e">
        <f>IF('Coach Card'!$T$5="",IF($D$1="Team",IF(AH266="","",AH266),""),IF($D$1="Team",IF(AE766="","",AE766),""))</f>
        <v>#N/A</v>
      </c>
      <c r="O267" s="1"/>
      <c r="R267" s="1" t="s">
        <v>624</v>
      </c>
      <c r="S267" t="s">
        <v>2237</v>
      </c>
      <c r="T267" s="3">
        <v>0.15</v>
      </c>
      <c r="U267" s="1" t="s">
        <v>624</v>
      </c>
      <c r="V267" t="s">
        <v>2237</v>
      </c>
      <c r="W267" s="3">
        <v>0.15</v>
      </c>
      <c r="X267" s="1" t="s">
        <v>1631</v>
      </c>
      <c r="Y267" t="s">
        <v>2227</v>
      </c>
      <c r="Z267" s="3">
        <v>0.4</v>
      </c>
      <c r="AK267" t="s">
        <v>2223</v>
      </c>
      <c r="AL267" t="s">
        <v>1807</v>
      </c>
      <c r="AM267">
        <v>0.5</v>
      </c>
    </row>
    <row r="268" spans="1:39" x14ac:dyDescent="0.35">
      <c r="A268" s="6" t="e">
        <f>IF('Coach Card'!$T$5="",IF($B$1="Solo",IF(L267="","",L267),IF($B$1="MSolo",IF(O267="","",O267),IF($B$1="Duet",IF(R267="","",R267),IF($B$1="Mixed",IF(U267="","",U267),IF(X267="","",X267))))),IF($B$1="Solo",IF(L767="","",L767),IF($B$1="MSolo",IF(L767="","",L767),IF($B$1="Duet",IF(O767="","",O767),IF($B$1="Mixed",IF(R767="","",R767),IF(U767="","",U767))))))</f>
        <v>#N/A</v>
      </c>
      <c r="B268" s="3" t="e">
        <f>IF('Coach Card'!$T$5="",IF($B$1="Solo",IF(M267="","",M267),IF($B$1="MSolo",IF(P267="","",P267),IF($B$1="Duet",IF(S267="","",S267),IF($B$1="Mixed",IF(V267="","",V267),IF(Y267="","",Y267))))),IF($B$1="Solo",IF(M767="","",M767),IF($B$1="MSolo",IF(M767="","",M767),IF($B$1="Duet",IF(P767="","",P767),IF($B$1="Mixed",IF(S767="","",S767),IF(V767="","",V767))))))</f>
        <v>#N/A</v>
      </c>
      <c r="C268" s="3" t="e">
        <f>IF('Coach Card'!$T$5="",IF($B$1="Solo",IF(N267="","",N267),IF($B$1="MSolo",IF(Q267="","",Q267),IF($B$1="Duet",IF(T267="","",T267),IF($B$1="Mixed",IF(W267="","",W267),IF(Z267="","",Z267))))),IF($B$1="Solo",IF(N767="","",N767),IF($B$1="MSolo",IF(N767="","",N767),IF($B$1="Duet",IF(Q767="","",Q767),IF($B$1="Mixed",IF(T767="","",T767),IF(W767="","",W767))))))</f>
        <v>#N/A</v>
      </c>
      <c r="D268" s="3" t="e">
        <f>IF('Coach Card'!$T$5="",IF($D$1="Team",IF(AG267="","",AG267),""),IF($D$1="Team",IF(AD767="","",AD767),""))</f>
        <v>#N/A</v>
      </c>
      <c r="E268" s="3" t="e">
        <f>IF('Coach Card'!$T$5="",IF($D$1="Team",IF(AH267="","",AH267),""),IF($D$1="Team",IF(AE767="","",AE767),""))</f>
        <v>#N/A</v>
      </c>
      <c r="O268" s="1"/>
      <c r="R268" s="1" t="s">
        <v>624</v>
      </c>
      <c r="S268" t="s">
        <v>2238</v>
      </c>
      <c r="T268" s="3">
        <v>0.15</v>
      </c>
      <c r="U268" s="1" t="s">
        <v>624</v>
      </c>
      <c r="V268" t="s">
        <v>2238</v>
      </c>
      <c r="W268" s="3">
        <v>0.15</v>
      </c>
      <c r="X268" s="1" t="s">
        <v>1631</v>
      </c>
      <c r="Y268" t="s">
        <v>2228</v>
      </c>
      <c r="Z268" s="3">
        <v>0.45</v>
      </c>
      <c r="AK268" t="s">
        <v>2224</v>
      </c>
      <c r="AL268" t="s">
        <v>1808</v>
      </c>
      <c r="AM268">
        <v>0.5</v>
      </c>
    </row>
    <row r="269" spans="1:39" x14ac:dyDescent="0.35">
      <c r="A269" s="6" t="e">
        <f>IF('Coach Card'!$T$5="",IF($B$1="Solo",IF(L268="","",L268),IF($B$1="MSolo",IF(O268="","",O268),IF($B$1="Duet",IF(R268="","",R268),IF($B$1="Mixed",IF(U268="","",U268),IF(X268="","",X268))))),IF($B$1="Solo",IF(L768="","",L768),IF($B$1="MSolo",IF(L768="","",L768),IF($B$1="Duet",IF(O768="","",O768),IF($B$1="Mixed",IF(R768="","",R768),IF(U768="","",U768))))))</f>
        <v>#N/A</v>
      </c>
      <c r="B269" s="3" t="e">
        <f>IF('Coach Card'!$T$5="",IF($B$1="Solo",IF(M268="","",M268),IF($B$1="MSolo",IF(P268="","",P268),IF($B$1="Duet",IF(S268="","",S268),IF($B$1="Mixed",IF(V268="","",V268),IF(Y268="","",Y268))))),IF($B$1="Solo",IF(M768="","",M768),IF($B$1="MSolo",IF(M768="","",M768),IF($B$1="Duet",IF(P768="","",P768),IF($B$1="Mixed",IF(S768="","",S768),IF(V768="","",V768))))))</f>
        <v>#N/A</v>
      </c>
      <c r="C269" s="3" t="e">
        <f>IF('Coach Card'!$T$5="",IF($B$1="Solo",IF(N268="","",N268),IF($B$1="MSolo",IF(Q268="","",Q268),IF($B$1="Duet",IF(T268="","",T268),IF($B$1="Mixed",IF(W268="","",W268),IF(Z268="","",Z268))))),IF($B$1="Solo",IF(N768="","",N768),IF($B$1="MSolo",IF(N768="","",N768),IF($B$1="Duet",IF(Q768="","",Q768),IF($B$1="Mixed",IF(T768="","",T768),IF(W768="","",W768))))))</f>
        <v>#N/A</v>
      </c>
      <c r="D269" s="3" t="e">
        <f>IF('Coach Card'!$T$5="",IF($D$1="Team",IF(AG268="","",AG268),""),IF($D$1="Team",IF(AD768="","",AD768),""))</f>
        <v>#N/A</v>
      </c>
      <c r="E269" s="3" t="e">
        <f>IF('Coach Card'!$T$5="",IF($D$1="Team",IF(AH268="","",AH268),""),IF($D$1="Team",IF(AE768="","",AE768),""))</f>
        <v>#N/A</v>
      </c>
      <c r="O269" s="1"/>
      <c r="R269" s="1" t="s">
        <v>624</v>
      </c>
      <c r="S269" t="s">
        <v>2239</v>
      </c>
      <c r="T269" s="3">
        <v>0.15</v>
      </c>
      <c r="U269" s="1" t="s">
        <v>624</v>
      </c>
      <c r="V269" t="s">
        <v>2239</v>
      </c>
      <c r="W269" s="3">
        <v>0.15</v>
      </c>
      <c r="X269" s="1" t="s">
        <v>1631</v>
      </c>
      <c r="Y269" t="s">
        <v>2229</v>
      </c>
      <c r="Z269" s="3">
        <v>0.57499999999999996</v>
      </c>
      <c r="AK269" t="s">
        <v>2225</v>
      </c>
      <c r="AL269" t="s">
        <v>1809</v>
      </c>
      <c r="AM269">
        <v>0.5</v>
      </c>
    </row>
    <row r="270" spans="1:39" x14ac:dyDescent="0.35">
      <c r="A270" s="6" t="e">
        <f>IF('Coach Card'!$T$5="",IF($B$1="Solo",IF(L269="","",L269),IF($B$1="MSolo",IF(O269="","",O269),IF($B$1="Duet",IF(R269="","",R269),IF($B$1="Mixed",IF(U269="","",U269),IF(X269="","",X269))))),IF($B$1="Solo",IF(L769="","",L769),IF($B$1="MSolo",IF(L769="","",L769),IF($B$1="Duet",IF(O769="","",O769),IF($B$1="Mixed",IF(R769="","",R769),IF(U769="","",U769))))))</f>
        <v>#N/A</v>
      </c>
      <c r="B270" s="3" t="e">
        <f>IF('Coach Card'!$T$5="",IF($B$1="Solo",IF(M269="","",M269),IF($B$1="MSolo",IF(P269="","",P269),IF($B$1="Duet",IF(S269="","",S269),IF($B$1="Mixed",IF(V269="","",V269),IF(Y269="","",Y269))))),IF($B$1="Solo",IF(M769="","",M769),IF($B$1="MSolo",IF(M769="","",M769),IF($B$1="Duet",IF(P769="","",P769),IF($B$1="Mixed",IF(S769="","",S769),IF(V769="","",V769))))))</f>
        <v>#N/A</v>
      </c>
      <c r="C270" s="3" t="e">
        <f>IF('Coach Card'!$T$5="",IF($B$1="Solo",IF(N269="","",N269),IF($B$1="MSolo",IF(Q269="","",Q269),IF($B$1="Duet",IF(T269="","",T269),IF($B$1="Mixed",IF(W269="","",W269),IF(Z269="","",Z269))))),IF($B$1="Solo",IF(N769="","",N769),IF($B$1="MSolo",IF(N769="","",N769),IF($B$1="Duet",IF(Q769="","",Q769),IF($B$1="Mixed",IF(T769="","",T769),IF(W769="","",W769))))))</f>
        <v>#N/A</v>
      </c>
      <c r="D270" s="3" t="e">
        <f>IF('Coach Card'!$T$5="",IF($D$1="Team",IF(AG269="","",AG269),""),IF($D$1="Team",IF(AD769="","",AD769),""))</f>
        <v>#N/A</v>
      </c>
      <c r="E270" s="3" t="e">
        <f>IF('Coach Card'!$T$5="",IF($D$1="Team",IF(AH269="","",AH269),""),IF($D$1="Team",IF(AE769="","",AE769),""))</f>
        <v>#N/A</v>
      </c>
      <c r="O270" s="1"/>
      <c r="R270" s="1" t="s">
        <v>624</v>
      </c>
      <c r="S270" t="s">
        <v>2461</v>
      </c>
      <c r="T270" s="3">
        <v>0.15</v>
      </c>
      <c r="U270" s="1" t="s">
        <v>624</v>
      </c>
      <c r="V270" t="s">
        <v>2461</v>
      </c>
      <c r="W270" s="3">
        <v>0.15</v>
      </c>
      <c r="X270" s="1" t="s">
        <v>1631</v>
      </c>
      <c r="Y270" t="s">
        <v>2459</v>
      </c>
      <c r="Z270" s="3">
        <v>0.72499999999999998</v>
      </c>
      <c r="AK270" t="s">
        <v>2226</v>
      </c>
      <c r="AL270" t="s">
        <v>1694</v>
      </c>
      <c r="AM270">
        <v>0.5</v>
      </c>
    </row>
    <row r="271" spans="1:39" x14ac:dyDescent="0.35">
      <c r="A271" s="6" t="e">
        <f>IF('Coach Card'!$T$5="",IF($B$1="Solo",IF(L270="","",L270),IF($B$1="MSolo",IF(O270="","",O270),IF($B$1="Duet",IF(R270="","",R270),IF($B$1="Mixed",IF(U270="","",U270),IF(X270="","",X270))))),IF($B$1="Solo",IF(L770="","",L770),IF($B$1="MSolo",IF(L770="","",L770),IF($B$1="Duet",IF(O770="","",O770),IF($B$1="Mixed",IF(R770="","",R770),IF(U770="","",U770))))))</f>
        <v>#N/A</v>
      </c>
      <c r="B271" s="3" t="e">
        <f>IF('Coach Card'!$T$5="",IF($B$1="Solo",IF(M270="","",M270),IF($B$1="MSolo",IF(P270="","",P270),IF($B$1="Duet",IF(S270="","",S270),IF($B$1="Mixed",IF(V270="","",V270),IF(Y270="","",Y270))))),IF($B$1="Solo",IF(M770="","",M770),IF($B$1="MSolo",IF(M770="","",M770),IF($B$1="Duet",IF(P770="","",P770),IF($B$1="Mixed",IF(S770="","",S770),IF(V770="","",V770))))))</f>
        <v>#N/A</v>
      </c>
      <c r="C271" s="3" t="e">
        <f>IF('Coach Card'!$T$5="",IF($B$1="Solo",IF(N270="","",N270),IF($B$1="MSolo",IF(Q270="","",Q270),IF($B$1="Duet",IF(T270="","",T270),IF($B$1="Mixed",IF(W270="","",W270),IF(Z270="","",Z270))))),IF($B$1="Solo",IF(N770="","",N770),IF($B$1="MSolo",IF(N770="","",N770),IF($B$1="Duet",IF(Q770="","",Q770),IF($B$1="Mixed",IF(T770="","",T770),IF(W770="","",W770))))))</f>
        <v>#N/A</v>
      </c>
      <c r="D271" s="3" t="e">
        <f>IF('Coach Card'!$T$5="",IF($D$1="Team",IF(AG270="","",AG270),""),IF($D$1="Team",IF(AD770="","",AD770),""))</f>
        <v>#N/A</v>
      </c>
      <c r="E271" s="3" t="e">
        <f>IF('Coach Card'!$T$5="",IF($D$1="Team",IF(AH270="","",AH270),""),IF($D$1="Team",IF(AE770="","",AE770),""))</f>
        <v>#N/A</v>
      </c>
      <c r="O271" s="1"/>
      <c r="R271" s="1" t="s">
        <v>624</v>
      </c>
      <c r="S271" t="s">
        <v>2240</v>
      </c>
      <c r="T271" s="3">
        <v>0.17499999999999999</v>
      </c>
      <c r="U271" s="1" t="s">
        <v>624</v>
      </c>
      <c r="V271" t="s">
        <v>2240</v>
      </c>
      <c r="W271" s="3">
        <v>0.17499999999999999</v>
      </c>
      <c r="X271" s="1" t="s">
        <v>1631</v>
      </c>
      <c r="Y271" t="s">
        <v>2460</v>
      </c>
      <c r="Z271" s="3">
        <v>0.82499999999999996</v>
      </c>
      <c r="AK271" t="s">
        <v>2227</v>
      </c>
      <c r="AL271" t="s">
        <v>1695</v>
      </c>
      <c r="AM271">
        <v>0.5</v>
      </c>
    </row>
    <row r="272" spans="1:39" x14ac:dyDescent="0.35">
      <c r="A272" s="6" t="e">
        <f>IF('Coach Card'!$T$5="",IF($B$1="Solo",IF(L271="","",L271),IF($B$1="MSolo",IF(O271="","",O271),IF($B$1="Duet",IF(R271="","",R271),IF($B$1="Mixed",IF(U271="","",U271),IF(X271="","",X271))))),IF($B$1="Solo",IF(L771="","",L771),IF($B$1="MSolo",IF(L771="","",L771),IF($B$1="Duet",IF(O771="","",O771),IF($B$1="Mixed",IF(R771="","",R771),IF(U771="","",U771))))))</f>
        <v>#N/A</v>
      </c>
      <c r="B272" s="3" t="e">
        <f>IF('Coach Card'!$T$5="",IF($B$1="Solo",IF(M271="","",M271),IF($B$1="MSolo",IF(P271="","",P271),IF($B$1="Duet",IF(S271="","",S271),IF($B$1="Mixed",IF(V271="","",V271),IF(Y271="","",Y271))))),IF($B$1="Solo",IF(M771="","",M771),IF($B$1="MSolo",IF(M771="","",M771),IF($B$1="Duet",IF(P771="","",P771),IF($B$1="Mixed",IF(S771="","",S771),IF(V771="","",V771))))))</f>
        <v>#N/A</v>
      </c>
      <c r="C272" s="3" t="e">
        <f>IF('Coach Card'!$T$5="",IF($B$1="Solo",IF(N271="","",N271),IF($B$1="MSolo",IF(Q271="","",Q271),IF($B$1="Duet",IF(T271="","",T271),IF($B$1="Mixed",IF(W271="","",W271),IF(Z271="","",Z271))))),IF($B$1="Solo",IF(N771="","",N771),IF($B$1="MSolo",IF(N771="","",N771),IF($B$1="Duet",IF(Q771="","",Q771),IF($B$1="Mixed",IF(T771="","",T771),IF(W771="","",W771))))))</f>
        <v>#N/A</v>
      </c>
      <c r="D272" s="3" t="e">
        <f>IF('Coach Card'!$T$5="",IF($D$1="Team",IF(AG271="","",AG271),""),IF($D$1="Team",IF(AD771="","",AD771),""))</f>
        <v>#N/A</v>
      </c>
      <c r="E272" s="3" t="e">
        <f>IF('Coach Card'!$T$5="",IF($D$1="Team",IF(AH271="","",AH271),""),IF($D$1="Team",IF(AE771="","",AE771),""))</f>
        <v>#N/A</v>
      </c>
      <c r="O272" s="1"/>
      <c r="R272" s="1" t="s">
        <v>624</v>
      </c>
      <c r="S272" t="s">
        <v>2241</v>
      </c>
      <c r="T272" s="3">
        <v>0.17499999999999999</v>
      </c>
      <c r="U272" s="1" t="s">
        <v>624</v>
      </c>
      <c r="V272" t="s">
        <v>2241</v>
      </c>
      <c r="W272" s="3">
        <v>0.17499999999999999</v>
      </c>
      <c r="X272" s="1" t="s">
        <v>624</v>
      </c>
      <c r="Y272" t="s">
        <v>2230</v>
      </c>
      <c r="Z272" s="3">
        <v>2.5000000000000001E-2</v>
      </c>
      <c r="AK272" t="s">
        <v>2228</v>
      </c>
      <c r="AL272" t="s">
        <v>1696</v>
      </c>
      <c r="AM272">
        <v>0.5</v>
      </c>
    </row>
    <row r="273" spans="1:39" x14ac:dyDescent="0.35">
      <c r="A273" s="6" t="e">
        <f>IF('Coach Card'!$T$5="",IF($B$1="Solo",IF(L272="","",L272),IF($B$1="MSolo",IF(O272="","",O272),IF($B$1="Duet",IF(R272="","",R272),IF($B$1="Mixed",IF(U272="","",U272),IF(X272="","",X272))))),IF($B$1="Solo",IF(L772="","",L772),IF($B$1="MSolo",IF(L772="","",L772),IF($B$1="Duet",IF(O772="","",O772),IF($B$1="Mixed",IF(R772="","",R772),IF(U772="","",U772))))))</f>
        <v>#N/A</v>
      </c>
      <c r="B273" s="3" t="e">
        <f>IF('Coach Card'!$T$5="",IF($B$1="Solo",IF(M272="","",M272),IF($B$1="MSolo",IF(P272="","",P272),IF($B$1="Duet",IF(S272="","",S272),IF($B$1="Mixed",IF(V272="","",V272),IF(Y272="","",Y272))))),IF($B$1="Solo",IF(M772="","",M772),IF($B$1="MSolo",IF(M772="","",M772),IF($B$1="Duet",IF(P772="","",P772),IF($B$1="Mixed",IF(S772="","",S772),IF(V772="","",V772))))))</f>
        <v>#N/A</v>
      </c>
      <c r="C273" s="3" t="e">
        <f>IF('Coach Card'!$T$5="",IF($B$1="Solo",IF(N272="","",N272),IF($B$1="MSolo",IF(Q272="","",Q272),IF($B$1="Duet",IF(T272="","",T272),IF($B$1="Mixed",IF(W272="","",W272),IF(Z272="","",Z272))))),IF($B$1="Solo",IF(N772="","",N772),IF($B$1="MSolo",IF(N772="","",N772),IF($B$1="Duet",IF(Q772="","",Q772),IF($B$1="Mixed",IF(T772="","",T772),IF(W772="","",W772))))))</f>
        <v>#N/A</v>
      </c>
      <c r="D273" s="3" t="e">
        <f>IF('Coach Card'!$T$5="",IF($D$1="Team",IF(AG272="","",AG272),""),IF($D$1="Team",IF(AD772="","",AD772),""))</f>
        <v>#N/A</v>
      </c>
      <c r="E273" s="3" t="e">
        <f>IF('Coach Card'!$T$5="",IF($D$1="Team",IF(AH272="","",AH272),""),IF($D$1="Team",IF(AE772="","",AE772),""))</f>
        <v>#N/A</v>
      </c>
      <c r="O273" s="1"/>
      <c r="R273" s="1" t="s">
        <v>624</v>
      </c>
      <c r="S273" t="s">
        <v>2242</v>
      </c>
      <c r="T273" s="3">
        <v>0.17499999999999999</v>
      </c>
      <c r="U273" s="1" t="s">
        <v>624</v>
      </c>
      <c r="V273" t="s">
        <v>2242</v>
      </c>
      <c r="W273" s="3">
        <v>0.17499999999999999</v>
      </c>
      <c r="X273" s="1" t="s">
        <v>624</v>
      </c>
      <c r="Y273" t="s">
        <v>2231</v>
      </c>
      <c r="Z273" s="3">
        <v>0.05</v>
      </c>
      <c r="AK273" t="s">
        <v>2229</v>
      </c>
      <c r="AL273" t="s">
        <v>1697</v>
      </c>
      <c r="AM273">
        <v>0.5</v>
      </c>
    </row>
    <row r="274" spans="1:39" x14ac:dyDescent="0.35">
      <c r="A274" s="6" t="e">
        <f>IF('Coach Card'!$T$5="",IF($B$1="Solo",IF(L273="","",L273),IF($B$1="MSolo",IF(O273="","",O273),IF($B$1="Duet",IF(R273="","",R273),IF($B$1="Mixed",IF(U273="","",U273),IF(X273="","",X273))))),IF($B$1="Solo",IF(L773="","",L773),IF($B$1="MSolo",IF(L773="","",L773),IF($B$1="Duet",IF(O773="","",O773),IF($B$1="Mixed",IF(R773="","",R773),IF(U773="","",U773))))))</f>
        <v>#N/A</v>
      </c>
      <c r="B274" s="3" t="e">
        <f>IF('Coach Card'!$T$5="",IF($B$1="Solo",IF(M273="","",M273),IF($B$1="MSolo",IF(P273="","",P273),IF($B$1="Duet",IF(S273="","",S273),IF($B$1="Mixed",IF(V273="","",V273),IF(Y273="","",Y273))))),IF($B$1="Solo",IF(M773="","",M773),IF($B$1="MSolo",IF(M773="","",M773),IF($B$1="Duet",IF(P773="","",P773),IF($B$1="Mixed",IF(S773="","",S773),IF(V773="","",V773))))))</f>
        <v>#N/A</v>
      </c>
      <c r="C274" s="3" t="e">
        <f>IF('Coach Card'!$T$5="",IF($B$1="Solo",IF(N273="","",N273),IF($B$1="MSolo",IF(Q273="","",Q273),IF($B$1="Duet",IF(T273="","",T273),IF($B$1="Mixed",IF(W273="","",W273),IF(Z273="","",Z273))))),IF($B$1="Solo",IF(N773="","",N773),IF($B$1="MSolo",IF(N773="","",N773),IF($B$1="Duet",IF(Q773="","",Q773),IF($B$1="Mixed",IF(T773="","",T773),IF(W773="","",W773))))))</f>
        <v>#N/A</v>
      </c>
      <c r="D274" s="3" t="e">
        <f>IF('Coach Card'!$T$5="",IF($D$1="Team",IF(AG273="","",AG273),""),IF($D$1="Team",IF(AD773="","",AD773),""))</f>
        <v>#N/A</v>
      </c>
      <c r="E274" s="3" t="e">
        <f>IF('Coach Card'!$T$5="",IF($D$1="Team",IF(AH273="","",AH273),""),IF($D$1="Team",IF(AE773="","",AE773),""))</f>
        <v>#N/A</v>
      </c>
      <c r="O274" s="1"/>
      <c r="R274" s="1" t="s">
        <v>624</v>
      </c>
      <c r="S274" t="s">
        <v>2243</v>
      </c>
      <c r="T274" s="3">
        <v>0.17499999999999999</v>
      </c>
      <c r="U274" s="1" t="s">
        <v>624</v>
      </c>
      <c r="V274" t="s">
        <v>2243</v>
      </c>
      <c r="W274" s="3">
        <v>0.17499999999999999</v>
      </c>
      <c r="X274" s="1" t="s">
        <v>624</v>
      </c>
      <c r="Y274" t="s">
        <v>2232</v>
      </c>
      <c r="Z274" s="3">
        <v>0.05</v>
      </c>
      <c r="AK274" t="s">
        <v>2459</v>
      </c>
      <c r="AL274" t="s">
        <v>2454</v>
      </c>
      <c r="AM274">
        <v>0.5</v>
      </c>
    </row>
    <row r="275" spans="1:39" x14ac:dyDescent="0.35">
      <c r="A275" s="6" t="e">
        <f>IF('Coach Card'!$T$5="",IF($B$1="Solo",IF(L274="","",L274),IF($B$1="MSolo",IF(O274="","",O274),IF($B$1="Duet",IF(R274="","",R274),IF($B$1="Mixed",IF(U274="","",U274),IF(X274="","",X274))))),IF($B$1="Solo",IF(L774="","",L774),IF($B$1="MSolo",IF(L774="","",L774),IF($B$1="Duet",IF(O774="","",O774),IF($B$1="Mixed",IF(R774="","",R774),IF(U774="","",U774))))))</f>
        <v>#N/A</v>
      </c>
      <c r="B275" s="3" t="e">
        <f>IF('Coach Card'!$T$5="",IF($B$1="Solo",IF(M274="","",M274),IF($B$1="MSolo",IF(P274="","",P274),IF($B$1="Duet",IF(S274="","",S274),IF($B$1="Mixed",IF(V274="","",V274),IF(Y274="","",Y274))))),IF($B$1="Solo",IF(M774="","",M774),IF($B$1="MSolo",IF(M774="","",M774),IF($B$1="Duet",IF(P774="","",P774),IF($B$1="Mixed",IF(S774="","",S774),IF(V774="","",V774))))))</f>
        <v>#N/A</v>
      </c>
      <c r="C275" s="3" t="e">
        <f>IF('Coach Card'!$T$5="",IF($B$1="Solo",IF(N274="","",N274),IF($B$1="MSolo",IF(Q274="","",Q274),IF($B$1="Duet",IF(T274="","",T274),IF($B$1="Mixed",IF(W274="","",W274),IF(Z274="","",Z274))))),IF($B$1="Solo",IF(N774="","",N774),IF($B$1="MSolo",IF(N774="","",N774),IF($B$1="Duet",IF(Q774="","",Q774),IF($B$1="Mixed",IF(T774="","",T774),IF(W774="","",W774))))))</f>
        <v>#N/A</v>
      </c>
      <c r="D275" s="3" t="e">
        <f>IF('Coach Card'!$T$5="",IF($D$1="Team",IF(AG274="","",AG274),""),IF($D$1="Team",IF(AD774="","",AD774),""))</f>
        <v>#N/A</v>
      </c>
      <c r="E275" s="3" t="e">
        <f>IF('Coach Card'!$T$5="",IF($D$1="Team",IF(AH274="","",AH274),""),IF($D$1="Team",IF(AE774="","",AE774),""))</f>
        <v>#N/A</v>
      </c>
      <c r="O275" s="1"/>
      <c r="R275" s="1" t="s">
        <v>624</v>
      </c>
      <c r="S275" t="s">
        <v>2244</v>
      </c>
      <c r="T275" s="3">
        <v>0.17499999999999999</v>
      </c>
      <c r="U275" s="1" t="s">
        <v>624</v>
      </c>
      <c r="V275" t="s">
        <v>2244</v>
      </c>
      <c r="W275" s="3">
        <v>0.17499999999999999</v>
      </c>
      <c r="X275" s="1" t="s">
        <v>624</v>
      </c>
      <c r="Y275" t="s">
        <v>2233</v>
      </c>
      <c r="Z275" s="3">
        <v>0.05</v>
      </c>
      <c r="AK275" t="s">
        <v>2460</v>
      </c>
      <c r="AL275" t="s">
        <v>2455</v>
      </c>
      <c r="AM275">
        <v>0.5</v>
      </c>
    </row>
    <row r="276" spans="1:39" x14ac:dyDescent="0.35">
      <c r="A276" s="6" t="e">
        <f>IF('Coach Card'!$T$5="",IF($B$1="Solo",IF(L275="","",L275),IF($B$1="MSolo",IF(O275="","",O275),IF($B$1="Duet",IF(R275="","",R275),IF($B$1="Mixed",IF(U275="","",U275),IF(X275="","",X275))))),IF($B$1="Solo",IF(L775="","",L775),IF($B$1="MSolo",IF(L775="","",L775),IF($B$1="Duet",IF(O775="","",O775),IF($B$1="Mixed",IF(R775="","",R775),IF(U775="","",U775))))))</f>
        <v>#N/A</v>
      </c>
      <c r="B276" s="3" t="e">
        <f>IF('Coach Card'!$T$5="",IF($B$1="Solo",IF(M275="","",M275),IF($B$1="MSolo",IF(P275="","",P275),IF($B$1="Duet",IF(S275="","",S275),IF($B$1="Mixed",IF(V275="","",V275),IF(Y275="","",Y275))))),IF($B$1="Solo",IF(M775="","",M775),IF($B$1="MSolo",IF(M775="","",M775),IF($B$1="Duet",IF(P775="","",P775),IF($B$1="Mixed",IF(S775="","",S775),IF(V775="","",V775))))))</f>
        <v>#N/A</v>
      </c>
      <c r="C276" s="3" t="e">
        <f>IF('Coach Card'!$T$5="",IF($B$1="Solo",IF(N275="","",N275),IF($B$1="MSolo",IF(Q275="","",Q275),IF($B$1="Duet",IF(T275="","",T275),IF($B$1="Mixed",IF(W275="","",W275),IF(Z275="","",Z275))))),IF($B$1="Solo",IF(N775="","",N775),IF($B$1="MSolo",IF(N775="","",N775),IF($B$1="Duet",IF(Q775="","",Q775),IF($B$1="Mixed",IF(T775="","",T775),IF(W775="","",W775))))))</f>
        <v>#N/A</v>
      </c>
      <c r="D276" s="3" t="e">
        <f>IF('Coach Card'!$T$5="",IF($D$1="Team",IF(AG275="","",AG275),""),IF($D$1="Team",IF(AD775="","",AD775),""))</f>
        <v>#N/A</v>
      </c>
      <c r="E276" s="3" t="e">
        <f>IF('Coach Card'!$T$5="",IF($D$1="Team",IF(AH275="","",AH275),""),IF($D$1="Team",IF(AE775="","",AE775),""))</f>
        <v>#N/A</v>
      </c>
      <c r="O276" s="1"/>
      <c r="R276" s="1" t="s">
        <v>624</v>
      </c>
      <c r="S276" t="s">
        <v>2245</v>
      </c>
      <c r="T276" s="3">
        <v>0.17499999999999999</v>
      </c>
      <c r="U276" s="1" t="s">
        <v>624</v>
      </c>
      <c r="V276" t="s">
        <v>2245</v>
      </c>
      <c r="W276" s="3">
        <v>0.17499999999999999</v>
      </c>
      <c r="X276" s="1" t="s">
        <v>624</v>
      </c>
      <c r="Y276" t="s">
        <v>2234</v>
      </c>
      <c r="Z276" s="3">
        <v>0.1</v>
      </c>
      <c r="AK276" t="s">
        <v>2230</v>
      </c>
      <c r="AL276" t="s">
        <v>1698</v>
      </c>
      <c r="AM276">
        <v>0.5</v>
      </c>
    </row>
    <row r="277" spans="1:39" x14ac:dyDescent="0.35">
      <c r="A277" s="6" t="e">
        <f>IF('Coach Card'!$T$5="",IF($B$1="Solo",IF(L276="","",L276),IF($B$1="MSolo",IF(O276="","",O276),IF($B$1="Duet",IF(R276="","",R276),IF($B$1="Mixed",IF(U276="","",U276),IF(X276="","",X276))))),IF($B$1="Solo",IF(L776="","",L776),IF($B$1="MSolo",IF(L776="","",L776),IF($B$1="Duet",IF(O776="","",O776),IF($B$1="Mixed",IF(R776="","",R776),IF(U776="","",U776))))))</f>
        <v>#N/A</v>
      </c>
      <c r="B277" s="3" t="e">
        <f>IF('Coach Card'!$T$5="",IF($B$1="Solo",IF(M276="","",M276),IF($B$1="MSolo",IF(P276="","",P276),IF($B$1="Duet",IF(S276="","",S276),IF($B$1="Mixed",IF(V276="","",V276),IF(Y276="","",Y276))))),IF($B$1="Solo",IF(M776="","",M776),IF($B$1="MSolo",IF(M776="","",M776),IF($B$1="Duet",IF(P776="","",P776),IF($B$1="Mixed",IF(S776="","",S776),IF(V776="","",V776))))))</f>
        <v>#N/A</v>
      </c>
      <c r="C277" s="3" t="e">
        <f>IF('Coach Card'!$T$5="",IF($B$1="Solo",IF(N276="","",N276),IF($B$1="MSolo",IF(Q276="","",Q276),IF($B$1="Duet",IF(T276="","",T276),IF($B$1="Mixed",IF(W276="","",W276),IF(Z276="","",Z276))))),IF($B$1="Solo",IF(N776="","",N776),IF($B$1="MSolo",IF(N776="","",N776),IF($B$1="Duet",IF(Q776="","",Q776),IF($B$1="Mixed",IF(T776="","",T776),IF(W776="","",W776))))))</f>
        <v>#N/A</v>
      </c>
      <c r="D277" s="3" t="e">
        <f>IF('Coach Card'!$T$5="",IF($D$1="Team",IF(AG276="","",AG276),""),IF($D$1="Team",IF(AD776="","",AD776),""))</f>
        <v>#N/A</v>
      </c>
      <c r="E277" s="3" t="e">
        <f>IF('Coach Card'!$T$5="",IF($D$1="Team",IF(AH276="","",AH276),""),IF($D$1="Team",IF(AE776="","",AE776),""))</f>
        <v>#N/A</v>
      </c>
      <c r="O277" s="1"/>
      <c r="R277" s="1" t="s">
        <v>624</v>
      </c>
      <c r="S277" t="s">
        <v>2246</v>
      </c>
      <c r="T277" s="3">
        <v>0.2</v>
      </c>
      <c r="U277" s="1" t="s">
        <v>624</v>
      </c>
      <c r="V277" t="s">
        <v>2246</v>
      </c>
      <c r="W277" s="3">
        <v>0.2</v>
      </c>
      <c r="X277" s="1" t="s">
        <v>624</v>
      </c>
      <c r="Y277" t="s">
        <v>2235</v>
      </c>
      <c r="Z277" s="3">
        <v>0.1</v>
      </c>
      <c r="AK277" t="s">
        <v>2231</v>
      </c>
      <c r="AL277" t="s">
        <v>1810</v>
      </c>
      <c r="AM277">
        <v>0.5</v>
      </c>
    </row>
    <row r="278" spans="1:39" x14ac:dyDescent="0.35">
      <c r="A278" s="6" t="e">
        <f>IF('Coach Card'!$T$5="",IF($B$1="Solo",IF(L277="","",L277),IF($B$1="MSolo",IF(O277="","",O277),IF($B$1="Duet",IF(R277="","",R277),IF($B$1="Mixed",IF(U277="","",U277),IF(X277="","",X277))))),IF($B$1="Solo",IF(L777="","",L777),IF($B$1="MSolo",IF(L777="","",L777),IF($B$1="Duet",IF(O777="","",O777),IF($B$1="Mixed",IF(R777="","",R777),IF(U777="","",U777))))))</f>
        <v>#N/A</v>
      </c>
      <c r="B278" s="3" t="e">
        <f>IF('Coach Card'!$T$5="",IF($B$1="Solo",IF(M277="","",M277),IF($B$1="MSolo",IF(P277="","",P277),IF($B$1="Duet",IF(S277="","",S277),IF($B$1="Mixed",IF(V277="","",V277),IF(Y277="","",Y277))))),IF($B$1="Solo",IF(M777="","",M777),IF($B$1="MSolo",IF(M777="","",M777),IF($B$1="Duet",IF(P777="","",P777),IF($B$1="Mixed",IF(S777="","",S777),IF(V777="","",V777))))))</f>
        <v>#N/A</v>
      </c>
      <c r="C278" s="3" t="e">
        <f>IF('Coach Card'!$T$5="",IF($B$1="Solo",IF(N277="","",N277),IF($B$1="MSolo",IF(Q277="","",Q277),IF($B$1="Duet",IF(T277="","",T277),IF($B$1="Mixed",IF(W277="","",W277),IF(Z277="","",Z277))))),IF($B$1="Solo",IF(N777="","",N777),IF($B$1="MSolo",IF(N777="","",N777),IF($B$1="Duet",IF(Q777="","",Q777),IF($B$1="Mixed",IF(T777="","",T777),IF(W777="","",W777))))))</f>
        <v>#N/A</v>
      </c>
      <c r="D278" s="3" t="e">
        <f>IF('Coach Card'!$T$5="",IF($D$1="Team",IF(AG277="","",AG277),""),IF($D$1="Team",IF(AD777="","",AD777),""))</f>
        <v>#N/A</v>
      </c>
      <c r="E278" s="3" t="e">
        <f>IF('Coach Card'!$T$5="",IF($D$1="Team",IF(AH277="","",AH277),""),IF($D$1="Team",IF(AE777="","",AE777),""))</f>
        <v>#N/A</v>
      </c>
      <c r="O278" s="1"/>
      <c r="R278" s="1" t="s">
        <v>624</v>
      </c>
      <c r="S278" t="s">
        <v>2247</v>
      </c>
      <c r="T278" s="3">
        <v>0.2</v>
      </c>
      <c r="U278" s="1" t="s">
        <v>624</v>
      </c>
      <c r="V278" t="s">
        <v>2247</v>
      </c>
      <c r="W278" s="3">
        <v>0.2</v>
      </c>
      <c r="X278" s="1" t="s">
        <v>624</v>
      </c>
      <c r="Y278" t="s">
        <v>2236</v>
      </c>
      <c r="Z278" s="3">
        <v>0.1</v>
      </c>
      <c r="AK278" t="s">
        <v>2232</v>
      </c>
      <c r="AL278" t="s">
        <v>1811</v>
      </c>
      <c r="AM278">
        <v>0.5</v>
      </c>
    </row>
    <row r="279" spans="1:39" x14ac:dyDescent="0.35">
      <c r="A279" s="6" t="e">
        <f>IF('Coach Card'!$T$5="",IF($B$1="Solo",IF(L278="","",L278),IF($B$1="MSolo",IF(O278="","",O278),IF($B$1="Duet",IF(R278="","",R278),IF($B$1="Mixed",IF(U278="","",U278),IF(X278="","",X278))))),IF($B$1="Solo",IF(L778="","",L778),IF($B$1="MSolo",IF(L778="","",L778),IF($B$1="Duet",IF(O778="","",O778),IF($B$1="Mixed",IF(R778="","",R778),IF(U778="","",U778))))))</f>
        <v>#N/A</v>
      </c>
      <c r="B279" s="3" t="e">
        <f>IF('Coach Card'!$T$5="",IF($B$1="Solo",IF(M278="","",M278),IF($B$1="MSolo",IF(P278="","",P278),IF($B$1="Duet",IF(S278="","",S278),IF($B$1="Mixed",IF(V278="","",V278),IF(Y278="","",Y278))))),IF($B$1="Solo",IF(M778="","",M778),IF($B$1="MSolo",IF(M778="","",M778),IF($B$1="Duet",IF(P778="","",P778),IF($B$1="Mixed",IF(S778="","",S778),IF(V778="","",V778))))))</f>
        <v>#N/A</v>
      </c>
      <c r="C279" s="3" t="e">
        <f>IF('Coach Card'!$T$5="",IF($B$1="Solo",IF(N278="","",N278),IF($B$1="MSolo",IF(Q278="","",Q278),IF($B$1="Duet",IF(T278="","",T278),IF($B$1="Mixed",IF(W278="","",W278),IF(Z278="","",Z278))))),IF($B$1="Solo",IF(N778="","",N778),IF($B$1="MSolo",IF(N778="","",N778),IF($B$1="Duet",IF(Q778="","",Q778),IF($B$1="Mixed",IF(T778="","",T778),IF(W778="","",W778))))))</f>
        <v>#N/A</v>
      </c>
      <c r="D279" s="3" t="e">
        <f>IF('Coach Card'!$T$5="",IF($D$1="Team",IF(AG278="","",AG278),""),IF($D$1="Team",IF(AD778="","",AD778),""))</f>
        <v>#N/A</v>
      </c>
      <c r="E279" s="3" t="e">
        <f>IF('Coach Card'!$T$5="",IF($D$1="Team",IF(AH278="","",AH278),""),IF($D$1="Team",IF(AE778="","",AE778),""))</f>
        <v>#N/A</v>
      </c>
      <c r="O279" s="1"/>
      <c r="R279" s="1" t="s">
        <v>624</v>
      </c>
      <c r="S279" t="s">
        <v>2248</v>
      </c>
      <c r="T279" s="3">
        <v>0.2</v>
      </c>
      <c r="U279" s="1" t="s">
        <v>624</v>
      </c>
      <c r="V279" t="s">
        <v>2248</v>
      </c>
      <c r="W279" s="3">
        <v>0.2</v>
      </c>
      <c r="X279" s="1" t="s">
        <v>624</v>
      </c>
      <c r="Y279" t="s">
        <v>2237</v>
      </c>
      <c r="Z279" s="3">
        <v>0.15</v>
      </c>
      <c r="AK279" t="s">
        <v>2233</v>
      </c>
      <c r="AL279" t="s">
        <v>1812</v>
      </c>
      <c r="AM279">
        <v>0.5</v>
      </c>
    </row>
    <row r="280" spans="1:39" x14ac:dyDescent="0.35">
      <c r="A280" s="6" t="e">
        <f>IF('Coach Card'!$T$5="",IF($B$1="Solo",IF(L279="","",L279),IF($B$1="MSolo",IF(O279="","",O279),IF($B$1="Duet",IF(R279="","",R279),IF($B$1="Mixed",IF(U279="","",U279),IF(X279="","",X279))))),IF($B$1="Solo",IF(L779="","",L779),IF($B$1="MSolo",IF(L779="","",L779),IF($B$1="Duet",IF(O779="","",O779),IF($B$1="Mixed",IF(R779="","",R779),IF(U779="","",U779))))))</f>
        <v>#N/A</v>
      </c>
      <c r="B280" s="3" t="e">
        <f>IF('Coach Card'!$T$5="",IF($B$1="Solo",IF(M279="","",M279),IF($B$1="MSolo",IF(P279="","",P279),IF($B$1="Duet",IF(S279="","",S279),IF($B$1="Mixed",IF(V279="","",V279),IF(Y279="","",Y279))))),IF($B$1="Solo",IF(M779="","",M779),IF($B$1="MSolo",IF(M779="","",M779),IF($B$1="Duet",IF(P779="","",P779),IF($B$1="Mixed",IF(S779="","",S779),IF(V779="","",V779))))))</f>
        <v>#N/A</v>
      </c>
      <c r="C280" s="3" t="e">
        <f>IF('Coach Card'!$T$5="",IF($B$1="Solo",IF(N279="","",N279),IF($B$1="MSolo",IF(Q279="","",Q279),IF($B$1="Duet",IF(T279="","",T279),IF($B$1="Mixed",IF(W279="","",W279),IF(Z279="","",Z279))))),IF($B$1="Solo",IF(N779="","",N779),IF($B$1="MSolo",IF(N779="","",N779),IF($B$1="Duet",IF(Q779="","",Q779),IF($B$1="Mixed",IF(T779="","",T779),IF(W779="","",W779))))))</f>
        <v>#N/A</v>
      </c>
      <c r="D280" s="3" t="e">
        <f>IF('Coach Card'!$T$5="",IF($D$1="Team",IF(AG279="","",AG279),""),IF($D$1="Team",IF(AD779="","",AD779),""))</f>
        <v>#N/A</v>
      </c>
      <c r="E280" s="3" t="e">
        <f>IF('Coach Card'!$T$5="",IF($D$1="Team",IF(AH279="","",AH279),""),IF($D$1="Team",IF(AE779="","",AE779),""))</f>
        <v>#N/A</v>
      </c>
      <c r="O280" s="1"/>
      <c r="R280" s="1" t="s">
        <v>624</v>
      </c>
      <c r="S280" t="s">
        <v>2249</v>
      </c>
      <c r="T280" s="3">
        <v>0.22500000000000001</v>
      </c>
      <c r="U280" s="1" t="s">
        <v>624</v>
      </c>
      <c r="V280" t="s">
        <v>2249</v>
      </c>
      <c r="W280" s="3">
        <v>0.22500000000000001</v>
      </c>
      <c r="X280" s="1" t="s">
        <v>624</v>
      </c>
      <c r="Y280" t="s">
        <v>2238</v>
      </c>
      <c r="Z280" s="3">
        <v>0.15</v>
      </c>
      <c r="AK280" t="s">
        <v>2234</v>
      </c>
      <c r="AL280" t="s">
        <v>1813</v>
      </c>
      <c r="AM280">
        <v>0.5</v>
      </c>
    </row>
    <row r="281" spans="1:39" x14ac:dyDescent="0.35">
      <c r="A281" s="6" t="e">
        <f>IF('Coach Card'!$T$5="",IF($B$1="Solo",IF(L280="","",L280),IF($B$1="MSolo",IF(O280="","",O280),IF($B$1="Duet",IF(R280="","",R280),IF($B$1="Mixed",IF(U280="","",U280),IF(X280="","",X280))))),IF($B$1="Solo",IF(L780="","",L780),IF($B$1="MSolo",IF(L780="","",L780),IF($B$1="Duet",IF(O780="","",O780),IF($B$1="Mixed",IF(R780="","",R780),IF(U780="","",U780))))))</f>
        <v>#N/A</v>
      </c>
      <c r="B281" s="3" t="e">
        <f>IF('Coach Card'!$T$5="",IF($B$1="Solo",IF(M280="","",M280),IF($B$1="MSolo",IF(P280="","",P280),IF($B$1="Duet",IF(S280="","",S280),IF($B$1="Mixed",IF(V280="","",V280),IF(Y280="","",Y280))))),IF($B$1="Solo",IF(M780="","",M780),IF($B$1="MSolo",IF(M780="","",M780),IF($B$1="Duet",IF(P780="","",P780),IF($B$1="Mixed",IF(S780="","",S780),IF(V780="","",V780))))))</f>
        <v>#N/A</v>
      </c>
      <c r="C281" s="3" t="e">
        <f>IF('Coach Card'!$T$5="",IF($B$1="Solo",IF(N280="","",N280),IF($B$1="MSolo",IF(Q280="","",Q280),IF($B$1="Duet",IF(T280="","",T280),IF($B$1="Mixed",IF(W280="","",W280),IF(Z280="","",Z280))))),IF($B$1="Solo",IF(N780="","",N780),IF($B$1="MSolo",IF(N780="","",N780),IF($B$1="Duet",IF(Q780="","",Q780),IF($B$1="Mixed",IF(T780="","",T780),IF(W780="","",W780))))))</f>
        <v>#N/A</v>
      </c>
      <c r="D281" s="3" t="e">
        <f>IF('Coach Card'!$T$5="",IF($D$1="Team",IF(AG280="","",AG280),""),IF($D$1="Team",IF(AD780="","",AD780),""))</f>
        <v>#N/A</v>
      </c>
      <c r="E281" s="3" t="e">
        <f>IF('Coach Card'!$T$5="",IF($D$1="Team",IF(AH280="","",AH280),""),IF($D$1="Team",IF(AE780="","",AE780),""))</f>
        <v>#N/A</v>
      </c>
      <c r="O281" s="1"/>
      <c r="R281" s="1" t="s">
        <v>624</v>
      </c>
      <c r="S281" t="s">
        <v>2250</v>
      </c>
      <c r="T281" s="3">
        <v>0.22500000000000001</v>
      </c>
      <c r="U281" s="1" t="s">
        <v>624</v>
      </c>
      <c r="V281" t="s">
        <v>2250</v>
      </c>
      <c r="W281" s="3">
        <v>0.22500000000000001</v>
      </c>
      <c r="X281" s="1" t="s">
        <v>624</v>
      </c>
      <c r="Y281" t="s">
        <v>2239</v>
      </c>
      <c r="Z281" s="3">
        <v>0.15</v>
      </c>
      <c r="AK281" t="s">
        <v>2235</v>
      </c>
      <c r="AL281" t="s">
        <v>1814</v>
      </c>
      <c r="AM281">
        <v>0.5</v>
      </c>
    </row>
    <row r="282" spans="1:39" x14ac:dyDescent="0.35">
      <c r="A282" s="6" t="e">
        <f>IF('Coach Card'!$T$5="",IF($B$1="Solo",IF(L281="","",L281),IF($B$1="MSolo",IF(O281="","",O281),IF($B$1="Duet",IF(R281="","",R281),IF($B$1="Mixed",IF(U281="","",U281),IF(X281="","",X281))))),IF($B$1="Solo",IF(L781="","",L781),IF($B$1="MSolo",IF(L781="","",L781),IF($B$1="Duet",IF(O781="","",O781),IF($B$1="Mixed",IF(R781="","",R781),IF(U781="","",U781))))))</f>
        <v>#N/A</v>
      </c>
      <c r="B282" s="3" t="e">
        <f>IF('Coach Card'!$T$5="",IF($B$1="Solo",IF(M281="","",M281),IF($B$1="MSolo",IF(P281="","",P281),IF($B$1="Duet",IF(S281="","",S281),IF($B$1="Mixed",IF(V281="","",V281),IF(Y281="","",Y281))))),IF($B$1="Solo",IF(M781="","",M781),IF($B$1="MSolo",IF(M781="","",M781),IF($B$1="Duet",IF(P781="","",P781),IF($B$1="Mixed",IF(S781="","",S781),IF(V781="","",V781))))))</f>
        <v>#N/A</v>
      </c>
      <c r="C282" s="3" t="e">
        <f>IF('Coach Card'!$T$5="",IF($B$1="Solo",IF(N281="","",N281),IF($B$1="MSolo",IF(Q281="","",Q281),IF($B$1="Duet",IF(T281="","",T281),IF($B$1="Mixed",IF(W281="","",W281),IF(Z281="","",Z281))))),IF($B$1="Solo",IF(N781="","",N781),IF($B$1="MSolo",IF(N781="","",N781),IF($B$1="Duet",IF(Q781="","",Q781),IF($B$1="Mixed",IF(T781="","",T781),IF(W781="","",W781))))))</f>
        <v>#N/A</v>
      </c>
      <c r="D282" s="3" t="e">
        <f>IF('Coach Card'!$T$5="",IF($D$1="Team",IF(AG281="","",AG281),""),IF($D$1="Team",IF(AD781="","",AD781),""))</f>
        <v>#N/A</v>
      </c>
      <c r="E282" s="3" t="e">
        <f>IF('Coach Card'!$T$5="",IF($D$1="Team",IF(AH281="","",AH281),""),IF($D$1="Team",IF(AE781="","",AE781),""))</f>
        <v>#N/A</v>
      </c>
      <c r="O282" s="1"/>
      <c r="R282" s="1" t="s">
        <v>624</v>
      </c>
      <c r="S282" t="s">
        <v>2251</v>
      </c>
      <c r="T282" s="3">
        <v>0.22500000000000001</v>
      </c>
      <c r="U282" s="1" t="s">
        <v>624</v>
      </c>
      <c r="V282" t="s">
        <v>2251</v>
      </c>
      <c r="W282" s="3">
        <v>0.22500000000000001</v>
      </c>
      <c r="X282" s="1" t="s">
        <v>624</v>
      </c>
      <c r="Y282" t="s">
        <v>2461</v>
      </c>
      <c r="Z282" s="3">
        <v>0.15</v>
      </c>
      <c r="AK282" t="s">
        <v>2236</v>
      </c>
      <c r="AL282" t="s">
        <v>1815</v>
      </c>
      <c r="AM282">
        <v>0.5</v>
      </c>
    </row>
    <row r="283" spans="1:39" x14ac:dyDescent="0.35">
      <c r="A283" s="6" t="e">
        <f>IF('Coach Card'!$T$5="",IF($B$1="Solo",IF(L282="","",L282),IF($B$1="MSolo",IF(O282="","",O282),IF($B$1="Duet",IF(R282="","",R282),IF($B$1="Mixed",IF(U282="","",U282),IF(X282="","",X282))))),IF($B$1="Solo",IF(L782="","",L782),IF($B$1="MSolo",IF(L782="","",L782),IF($B$1="Duet",IF(O782="","",O782),IF($B$1="Mixed",IF(R782="","",R782),IF(U782="","",U782))))))</f>
        <v>#N/A</v>
      </c>
      <c r="B283" s="3" t="e">
        <f>IF('Coach Card'!$T$5="",IF($B$1="Solo",IF(M282="","",M282),IF($B$1="MSolo",IF(P282="","",P282),IF($B$1="Duet",IF(S282="","",S282),IF($B$1="Mixed",IF(V282="","",V282),IF(Y282="","",Y282))))),IF($B$1="Solo",IF(M782="","",M782),IF($B$1="MSolo",IF(M782="","",M782),IF($B$1="Duet",IF(P782="","",P782),IF($B$1="Mixed",IF(S782="","",S782),IF(V782="","",V782))))))</f>
        <v>#N/A</v>
      </c>
      <c r="C283" s="3" t="e">
        <f>IF('Coach Card'!$T$5="",IF($B$1="Solo",IF(N282="","",N282),IF($B$1="MSolo",IF(Q282="","",Q282),IF($B$1="Duet",IF(T282="","",T282),IF($B$1="Mixed",IF(W282="","",W282),IF(Z282="","",Z282))))),IF($B$1="Solo",IF(N782="","",N782),IF($B$1="MSolo",IF(N782="","",N782),IF($B$1="Duet",IF(Q782="","",Q782),IF($B$1="Mixed",IF(T782="","",T782),IF(W782="","",W782))))))</f>
        <v>#N/A</v>
      </c>
      <c r="D283" s="3" t="e">
        <f>IF('Coach Card'!$T$5="",IF($D$1="Team",IF(AG282="","",AG282),""),IF($D$1="Team",IF(AD782="","",AD782),""))</f>
        <v>#N/A</v>
      </c>
      <c r="E283" s="3" t="e">
        <f>IF('Coach Card'!$T$5="",IF($D$1="Team",IF(AH282="","",AH282),""),IF($D$1="Team",IF(AE782="","",AE782),""))</f>
        <v>#N/A</v>
      </c>
      <c r="O283" s="1"/>
      <c r="R283" s="1" t="s">
        <v>624</v>
      </c>
      <c r="S283" t="s">
        <v>2252</v>
      </c>
      <c r="T283" s="3">
        <v>0.22500000000000001</v>
      </c>
      <c r="U283" s="1" t="s">
        <v>624</v>
      </c>
      <c r="V283" t="s">
        <v>2252</v>
      </c>
      <c r="W283" s="3">
        <v>0.22500000000000001</v>
      </c>
      <c r="X283" s="1" t="s">
        <v>624</v>
      </c>
      <c r="Y283" t="s">
        <v>2240</v>
      </c>
      <c r="Z283" s="3">
        <v>0.17499999999999999</v>
      </c>
      <c r="AK283" t="s">
        <v>2237</v>
      </c>
      <c r="AL283" t="s">
        <v>1816</v>
      </c>
      <c r="AM283">
        <v>0.5</v>
      </c>
    </row>
    <row r="284" spans="1:39" x14ac:dyDescent="0.35">
      <c r="A284" s="6" t="e">
        <f>IF('Coach Card'!$T$5="",IF($B$1="Solo",IF(L283="","",L283),IF($B$1="MSolo",IF(O283="","",O283),IF($B$1="Duet",IF(R283="","",R283),IF($B$1="Mixed",IF(U283="","",U283),IF(X283="","",X283))))),IF($B$1="Solo",IF(L783="","",L783),IF($B$1="MSolo",IF(L783="","",L783),IF($B$1="Duet",IF(O783="","",O783),IF($B$1="Mixed",IF(R783="","",R783),IF(U783="","",U783))))))</f>
        <v>#N/A</v>
      </c>
      <c r="B284" s="3" t="e">
        <f>IF('Coach Card'!$T$5="",IF($B$1="Solo",IF(M283="","",M283),IF($B$1="MSolo",IF(P283="","",P283),IF($B$1="Duet",IF(S283="","",S283),IF($B$1="Mixed",IF(V283="","",V283),IF(Y283="","",Y283))))),IF($B$1="Solo",IF(M783="","",M783),IF($B$1="MSolo",IF(M783="","",M783),IF($B$1="Duet",IF(P783="","",P783),IF($B$1="Mixed",IF(S783="","",S783),IF(V783="","",V783))))))</f>
        <v>#N/A</v>
      </c>
      <c r="C284" s="3" t="e">
        <f>IF('Coach Card'!$T$5="",IF($B$1="Solo",IF(N283="","",N283),IF($B$1="MSolo",IF(Q283="","",Q283),IF($B$1="Duet",IF(T283="","",T283),IF($B$1="Mixed",IF(W283="","",W283),IF(Z283="","",Z283))))),IF($B$1="Solo",IF(N783="","",N783),IF($B$1="MSolo",IF(N783="","",N783),IF($B$1="Duet",IF(Q783="","",Q783),IF($B$1="Mixed",IF(T783="","",T783),IF(W783="","",W783))))))</f>
        <v>#N/A</v>
      </c>
      <c r="D284" s="3" t="e">
        <f>IF('Coach Card'!$T$5="",IF($D$1="Team",IF(AG283="","",AG283),""),IF($D$1="Team",IF(AD783="","",AD783),""))</f>
        <v>#N/A</v>
      </c>
      <c r="E284" s="3" t="e">
        <f>IF('Coach Card'!$T$5="",IF($D$1="Team",IF(AH283="","",AH283),""),IF($D$1="Team",IF(AE783="","",AE783),""))</f>
        <v>#N/A</v>
      </c>
      <c r="O284" s="1"/>
      <c r="R284" s="1" t="s">
        <v>624</v>
      </c>
      <c r="S284" t="s">
        <v>2253</v>
      </c>
      <c r="T284" s="3">
        <v>0.25</v>
      </c>
      <c r="U284" s="1" t="s">
        <v>624</v>
      </c>
      <c r="V284" t="s">
        <v>2253</v>
      </c>
      <c r="W284" s="3">
        <v>0.25</v>
      </c>
      <c r="X284" s="1" t="s">
        <v>624</v>
      </c>
      <c r="Y284" t="s">
        <v>2241</v>
      </c>
      <c r="Z284" s="3">
        <v>0.17499999999999999</v>
      </c>
      <c r="AK284" t="s">
        <v>2238</v>
      </c>
      <c r="AL284" t="s">
        <v>1817</v>
      </c>
      <c r="AM284">
        <v>0.5</v>
      </c>
    </row>
    <row r="285" spans="1:39" x14ac:dyDescent="0.35">
      <c r="A285" s="6" t="e">
        <f>IF('Coach Card'!$T$5="",IF($B$1="Solo",IF(L284="","",L284),IF($B$1="MSolo",IF(O284="","",O284),IF($B$1="Duet",IF(R284="","",R284),IF($B$1="Mixed",IF(U284="","",U284),IF(X284="","",X284))))),IF($B$1="Solo",IF(L784="","",L784),IF($B$1="MSolo",IF(L784="","",L784),IF($B$1="Duet",IF(O784="","",O784),IF($B$1="Mixed",IF(R784="","",R784),IF(U784="","",U784))))))</f>
        <v>#N/A</v>
      </c>
      <c r="B285" s="3" t="e">
        <f>IF('Coach Card'!$T$5="",IF($B$1="Solo",IF(M284="","",M284),IF($B$1="MSolo",IF(P284="","",P284),IF($B$1="Duet",IF(S284="","",S284),IF($B$1="Mixed",IF(V284="","",V284),IF(Y284="","",Y284))))),IF($B$1="Solo",IF(M784="","",M784),IF($B$1="MSolo",IF(M784="","",M784),IF($B$1="Duet",IF(P784="","",P784),IF($B$1="Mixed",IF(S784="","",S784),IF(V784="","",V784))))))</f>
        <v>#N/A</v>
      </c>
      <c r="C285" s="3" t="e">
        <f>IF('Coach Card'!$T$5="",IF($B$1="Solo",IF(N284="","",N284),IF($B$1="MSolo",IF(Q284="","",Q284),IF($B$1="Duet",IF(T284="","",T284),IF($B$1="Mixed",IF(W284="","",W284),IF(Z284="","",Z284))))),IF($B$1="Solo",IF(N784="","",N784),IF($B$1="MSolo",IF(N784="","",N784),IF($B$1="Duet",IF(Q784="","",Q784),IF($B$1="Mixed",IF(T784="","",T784),IF(W784="","",W784))))))</f>
        <v>#N/A</v>
      </c>
      <c r="D285" s="3" t="e">
        <f>IF('Coach Card'!$T$5="",IF($D$1="Team",IF(AG284="","",AG284),""),IF($D$1="Team",IF(AD784="","",AD784),""))</f>
        <v>#N/A</v>
      </c>
      <c r="E285" s="3" t="e">
        <f>IF('Coach Card'!$T$5="",IF($D$1="Team",IF(AH284="","",AH284),""),IF($D$1="Team",IF(AE784="","",AE784),""))</f>
        <v>#N/A</v>
      </c>
      <c r="O285" s="1"/>
      <c r="R285" s="1" t="s">
        <v>624</v>
      </c>
      <c r="S285" t="s">
        <v>2254</v>
      </c>
      <c r="T285" s="3">
        <v>0.32500000000000001</v>
      </c>
      <c r="U285" s="1" t="s">
        <v>624</v>
      </c>
      <c r="V285" t="s">
        <v>2254</v>
      </c>
      <c r="W285" s="3">
        <v>0.32500000000000001</v>
      </c>
      <c r="X285" s="1" t="s">
        <v>624</v>
      </c>
      <c r="Y285" t="s">
        <v>2242</v>
      </c>
      <c r="Z285" s="3">
        <v>0.17499999999999999</v>
      </c>
      <c r="AK285" t="s">
        <v>2239</v>
      </c>
      <c r="AL285" t="s">
        <v>1818</v>
      </c>
      <c r="AM285">
        <v>0.5</v>
      </c>
    </row>
    <row r="286" spans="1:39" x14ac:dyDescent="0.35">
      <c r="A286" s="6" t="e">
        <f>IF('Coach Card'!$T$5="",IF($B$1="Solo",IF(L285="","",L285),IF($B$1="MSolo",IF(O285="","",O285),IF($B$1="Duet",IF(R285="","",R285),IF($B$1="Mixed",IF(U285="","",U285),IF(X285="","",X285))))),IF($B$1="Solo",IF(L785="","",L785),IF($B$1="MSolo",IF(L785="","",L785),IF($B$1="Duet",IF(O785="","",O785),IF($B$1="Mixed",IF(R785="","",R785),IF(U785="","",U785))))))</f>
        <v>#N/A</v>
      </c>
      <c r="B286" s="3" t="e">
        <f>IF('Coach Card'!$T$5="",IF($B$1="Solo",IF(M285="","",M285),IF($B$1="MSolo",IF(P285="","",P285),IF($B$1="Duet",IF(S285="","",S285),IF($B$1="Mixed",IF(V285="","",V285),IF(Y285="","",Y285))))),IF($B$1="Solo",IF(M785="","",M785),IF($B$1="MSolo",IF(M785="","",M785),IF($B$1="Duet",IF(P785="","",P785),IF($B$1="Mixed",IF(S785="","",S785),IF(V785="","",V785))))))</f>
        <v>#N/A</v>
      </c>
      <c r="C286" s="3" t="e">
        <f>IF('Coach Card'!$T$5="",IF($B$1="Solo",IF(N285="","",N285),IF($B$1="MSolo",IF(Q285="","",Q285),IF($B$1="Duet",IF(T285="","",T285),IF($B$1="Mixed",IF(W285="","",W285),IF(Z285="","",Z285))))),IF($B$1="Solo",IF(N785="","",N785),IF($B$1="MSolo",IF(N785="","",N785),IF($B$1="Duet",IF(Q785="","",Q785),IF($B$1="Mixed",IF(T785="","",T785),IF(W785="","",W785))))))</f>
        <v>#N/A</v>
      </c>
      <c r="D286" s="3" t="e">
        <f>IF('Coach Card'!$T$5="",IF($D$1="Team",IF(AG285="","",AG285),""),IF($D$1="Team",IF(AD785="","",AD785),""))</f>
        <v>#N/A</v>
      </c>
      <c r="E286" s="3" t="e">
        <f>IF('Coach Card'!$T$5="",IF($D$1="Team",IF(AH285="","",AH285),""),IF($D$1="Team",IF(AE785="","",AE785),""))</f>
        <v>#N/A</v>
      </c>
      <c r="O286" s="1"/>
      <c r="R286" s="1" t="s">
        <v>624</v>
      </c>
      <c r="S286" t="s">
        <v>2255</v>
      </c>
      <c r="T286" s="3">
        <v>0.32500000000000001</v>
      </c>
      <c r="U286" s="1" t="s">
        <v>624</v>
      </c>
      <c r="V286" t="s">
        <v>2255</v>
      </c>
      <c r="W286" s="3">
        <v>0.32500000000000001</v>
      </c>
      <c r="X286" s="1" t="s">
        <v>624</v>
      </c>
      <c r="Y286" t="s">
        <v>2243</v>
      </c>
      <c r="Z286" s="3">
        <v>0.17499999999999999</v>
      </c>
      <c r="AK286" t="s">
        <v>2461</v>
      </c>
      <c r="AL286" t="s">
        <v>2456</v>
      </c>
      <c r="AM286">
        <v>0.5</v>
      </c>
    </row>
    <row r="287" spans="1:39" x14ac:dyDescent="0.35">
      <c r="A287" s="6" t="e">
        <f>IF('Coach Card'!$T$5="",IF($B$1="Solo",IF(L286="","",L286),IF($B$1="MSolo",IF(O286="","",O286),IF($B$1="Duet",IF(R286="","",R286),IF($B$1="Mixed",IF(U286="","",U286),IF(X286="","",X286))))),IF($B$1="Solo",IF(L786="","",L786),IF($B$1="MSolo",IF(L786="","",L786),IF($B$1="Duet",IF(O786="","",O786),IF($B$1="Mixed",IF(R786="","",R786),IF(U786="","",U786))))))</f>
        <v>#N/A</v>
      </c>
      <c r="B287" s="3" t="e">
        <f>IF('Coach Card'!$T$5="",IF($B$1="Solo",IF(M286="","",M286),IF($B$1="MSolo",IF(P286="","",P286),IF($B$1="Duet",IF(S286="","",S286),IF($B$1="Mixed",IF(V286="","",V286),IF(Y286="","",Y286))))),IF($B$1="Solo",IF(M786="","",M786),IF($B$1="MSolo",IF(M786="","",M786),IF($B$1="Duet",IF(P786="","",P786),IF($B$1="Mixed",IF(S786="","",S786),IF(V786="","",V786))))))</f>
        <v>#N/A</v>
      </c>
      <c r="C287" s="3" t="e">
        <f>IF('Coach Card'!$T$5="",IF($B$1="Solo",IF(N286="","",N286),IF($B$1="MSolo",IF(Q286="","",Q286),IF($B$1="Duet",IF(T286="","",T286),IF($B$1="Mixed",IF(W286="","",W286),IF(Z286="","",Z286))))),IF($B$1="Solo",IF(N786="","",N786),IF($B$1="MSolo",IF(N786="","",N786),IF($B$1="Duet",IF(Q786="","",Q786),IF($B$1="Mixed",IF(T786="","",T786),IF(W786="","",W786))))))</f>
        <v>#N/A</v>
      </c>
      <c r="D287" s="3" t="e">
        <f>IF('Coach Card'!$T$5="",IF($D$1="Team",IF(AG286="","",AG286),""),IF($D$1="Team",IF(AD786="","",AD786),""))</f>
        <v>#N/A</v>
      </c>
      <c r="E287" s="3" t="e">
        <f>IF('Coach Card'!$T$5="",IF($D$1="Team",IF(AH286="","",AH286),""),IF($D$1="Team",IF(AE786="","",AE786),""))</f>
        <v>#N/A</v>
      </c>
      <c r="O287" s="1"/>
      <c r="R287" s="1" t="s">
        <v>624</v>
      </c>
      <c r="S287" t="s">
        <v>2256</v>
      </c>
      <c r="T287" s="3">
        <v>0.375</v>
      </c>
      <c r="U287" s="1" t="s">
        <v>624</v>
      </c>
      <c r="V287" t="s">
        <v>2256</v>
      </c>
      <c r="W287" s="3">
        <v>0.375</v>
      </c>
      <c r="X287" s="1" t="s">
        <v>624</v>
      </c>
      <c r="Y287" t="s">
        <v>2244</v>
      </c>
      <c r="Z287" s="3">
        <v>0.17499999999999999</v>
      </c>
      <c r="AK287" t="s">
        <v>2240</v>
      </c>
      <c r="AL287" t="s">
        <v>1819</v>
      </c>
      <c r="AM287">
        <v>0.5</v>
      </c>
    </row>
    <row r="288" spans="1:39" x14ac:dyDescent="0.35">
      <c r="A288" s="6" t="e">
        <f>IF('Coach Card'!$T$5="",IF($B$1="Solo",IF(L287="","",L287),IF($B$1="MSolo",IF(O287="","",O287),IF($B$1="Duet",IF(R287="","",R287),IF($B$1="Mixed",IF(U287="","",U287),IF(X287="","",X287))))),IF($B$1="Solo",IF(L787="","",L787),IF($B$1="MSolo",IF(L787="","",L787),IF($B$1="Duet",IF(O787="","",O787),IF($B$1="Mixed",IF(R787="","",R787),IF(U787="","",U787))))))</f>
        <v>#N/A</v>
      </c>
      <c r="B288" s="3" t="e">
        <f>IF('Coach Card'!$T$5="",IF($B$1="Solo",IF(M287="","",M287),IF($B$1="MSolo",IF(P287="","",P287),IF($B$1="Duet",IF(S287="","",S287),IF($B$1="Mixed",IF(V287="","",V287),IF(Y287="","",Y287))))),IF($B$1="Solo",IF(M787="","",M787),IF($B$1="MSolo",IF(M787="","",M787),IF($B$1="Duet",IF(P787="","",P787),IF($B$1="Mixed",IF(S787="","",S787),IF(V787="","",V787))))))</f>
        <v>#N/A</v>
      </c>
      <c r="C288" s="3" t="e">
        <f>IF('Coach Card'!$T$5="",IF($B$1="Solo",IF(N287="","",N287),IF($B$1="MSolo",IF(Q287="","",Q287),IF($B$1="Duet",IF(T287="","",T287),IF($B$1="Mixed",IF(W287="","",W287),IF(Z287="","",Z287))))),IF($B$1="Solo",IF(N787="","",N787),IF($B$1="MSolo",IF(N787="","",N787),IF($B$1="Duet",IF(Q787="","",Q787),IF($B$1="Mixed",IF(T787="","",T787),IF(W787="","",W787))))))</f>
        <v>#N/A</v>
      </c>
      <c r="D288" s="3" t="e">
        <f>IF('Coach Card'!$T$5="",IF($D$1="Team",IF(AG287="","",AG287),""),IF($D$1="Team",IF(AD787="","",AD787),""))</f>
        <v>#N/A</v>
      </c>
      <c r="E288" s="3" t="e">
        <f>IF('Coach Card'!$T$5="",IF($D$1="Team",IF(AH287="","",AH287),""),IF($D$1="Team",IF(AE787="","",AE787),""))</f>
        <v>#N/A</v>
      </c>
      <c r="O288" s="1"/>
      <c r="R288" s="1" t="s">
        <v>624</v>
      </c>
      <c r="S288" t="s">
        <v>2257</v>
      </c>
      <c r="T288" s="3">
        <v>0.5</v>
      </c>
      <c r="U288" s="1" t="s">
        <v>624</v>
      </c>
      <c r="V288" t="s">
        <v>2257</v>
      </c>
      <c r="W288" s="3">
        <v>0.5</v>
      </c>
      <c r="X288" s="1" t="s">
        <v>624</v>
      </c>
      <c r="Y288" t="s">
        <v>2245</v>
      </c>
      <c r="Z288" s="3">
        <v>0.17499999999999999</v>
      </c>
      <c r="AK288" t="s">
        <v>2241</v>
      </c>
      <c r="AL288" t="s">
        <v>1820</v>
      </c>
      <c r="AM288">
        <v>0.5</v>
      </c>
    </row>
    <row r="289" spans="1:39" x14ac:dyDescent="0.35">
      <c r="A289" s="6" t="e">
        <f>IF('Coach Card'!$T$5="",IF($B$1="Solo",IF(L288="","",L288),IF($B$1="MSolo",IF(O288="","",O288),IF($B$1="Duet",IF(R288="","",R288),IF($B$1="Mixed",IF(U288="","",U288),IF(X288="","",X288))))),IF($B$1="Solo",IF(L788="","",L788),IF($B$1="MSolo",IF(L788="","",L788),IF($B$1="Duet",IF(O788="","",O788),IF($B$1="Mixed",IF(R788="","",R788),IF(U788="","",U788))))))</f>
        <v>#N/A</v>
      </c>
      <c r="B289" s="3" t="e">
        <f>IF('Coach Card'!$T$5="",IF($B$1="Solo",IF(M288="","",M288),IF($B$1="MSolo",IF(P288="","",P288),IF($B$1="Duet",IF(S288="","",S288),IF($B$1="Mixed",IF(V288="","",V288),IF(Y288="","",Y288))))),IF($B$1="Solo",IF(M788="","",M788),IF($B$1="MSolo",IF(M788="","",M788),IF($B$1="Duet",IF(P788="","",P788),IF($B$1="Mixed",IF(S788="","",S788),IF(V788="","",V788))))))</f>
        <v>#N/A</v>
      </c>
      <c r="C289" s="3" t="e">
        <f>IF('Coach Card'!$T$5="",IF($B$1="Solo",IF(N288="","",N288),IF($B$1="MSolo",IF(Q288="","",Q288),IF($B$1="Duet",IF(T288="","",T288),IF($B$1="Mixed",IF(W288="","",W288),IF(Z288="","",Z288))))),IF($B$1="Solo",IF(N788="","",N788),IF($B$1="MSolo",IF(N788="","",N788),IF($B$1="Duet",IF(Q788="","",Q788),IF($B$1="Mixed",IF(T788="","",T788),IF(W788="","",W788))))))</f>
        <v>#N/A</v>
      </c>
      <c r="D289" s="3" t="e">
        <f>IF('Coach Card'!$T$5="",IF($D$1="Team",IF(AG288="","",AG288),""),IF($D$1="Team",IF(AD788="","",AD788),""))</f>
        <v>#N/A</v>
      </c>
      <c r="E289" s="3" t="e">
        <f>IF('Coach Card'!$T$5="",IF($D$1="Team",IF(AH288="","",AH288),""),IF($D$1="Team",IF(AE788="","",AE788),""))</f>
        <v>#N/A</v>
      </c>
      <c r="O289" s="1"/>
      <c r="R289" s="1"/>
      <c r="U289" s="1"/>
      <c r="X289" s="1" t="s">
        <v>624</v>
      </c>
      <c r="Y289" t="s">
        <v>2246</v>
      </c>
      <c r="Z289" s="3">
        <v>0.2</v>
      </c>
      <c r="AK289" t="s">
        <v>2242</v>
      </c>
      <c r="AL289" t="s">
        <v>1821</v>
      </c>
      <c r="AM289">
        <v>0.5</v>
      </c>
    </row>
    <row r="290" spans="1:39" x14ac:dyDescent="0.35">
      <c r="A290" s="6" t="e">
        <f>IF('Coach Card'!$T$5="",IF($B$1="Solo",IF(L289="","",L289),IF($B$1="MSolo",IF(O289="","",O289),IF($B$1="Duet",IF(R289="","",R289),IF($B$1="Mixed",IF(U289="","",U289),IF(X289="","",X289))))),IF($B$1="Solo",IF(L789="","",L789),IF($B$1="MSolo",IF(L789="","",L789),IF($B$1="Duet",IF(O789="","",O789),IF($B$1="Mixed",IF(R789="","",R789),IF(U789="","",U789))))))</f>
        <v>#N/A</v>
      </c>
      <c r="B290" s="3" t="e">
        <f>IF('Coach Card'!$T$5="",IF($B$1="Solo",IF(M289="","",M289),IF($B$1="MSolo",IF(P289="","",P289),IF($B$1="Duet",IF(S289="","",S289),IF($B$1="Mixed",IF(V289="","",V289),IF(Y289="","",Y289))))),IF($B$1="Solo",IF(M789="","",M789),IF($B$1="MSolo",IF(M789="","",M789),IF($B$1="Duet",IF(P789="","",P789),IF($B$1="Mixed",IF(S789="","",S789),IF(V789="","",V789))))))</f>
        <v>#N/A</v>
      </c>
      <c r="C290" s="3" t="e">
        <f>IF('Coach Card'!$T$5="",IF($B$1="Solo",IF(N289="","",N289),IF($B$1="MSolo",IF(Q289="","",Q289),IF($B$1="Duet",IF(T289="","",T289),IF($B$1="Mixed",IF(W289="","",W289),IF(Z289="","",Z289))))),IF($B$1="Solo",IF(N789="","",N789),IF($B$1="MSolo",IF(N789="","",N789),IF($B$1="Duet",IF(Q789="","",Q789),IF($B$1="Mixed",IF(T789="","",T789),IF(W789="","",W789))))))</f>
        <v>#N/A</v>
      </c>
      <c r="D290" s="3" t="e">
        <f>IF('Coach Card'!$T$5="",IF($D$1="Team",IF(AG289="","",AG289),""),IF($D$1="Team",IF(AD789="","",AD789),""))</f>
        <v>#N/A</v>
      </c>
      <c r="E290" s="3" t="e">
        <f>IF('Coach Card'!$T$5="",IF($D$1="Team",IF(AH289="","",AH289),""),IF($D$1="Team",IF(AE789="","",AE789),""))</f>
        <v>#N/A</v>
      </c>
      <c r="O290" s="1"/>
      <c r="R290" s="1"/>
      <c r="U290" s="1"/>
      <c r="X290" s="1" t="s">
        <v>624</v>
      </c>
      <c r="Y290" t="s">
        <v>2247</v>
      </c>
      <c r="Z290" s="3">
        <v>0.2</v>
      </c>
      <c r="AK290" t="s">
        <v>2243</v>
      </c>
      <c r="AL290" t="s">
        <v>1822</v>
      </c>
      <c r="AM290">
        <v>0.5</v>
      </c>
    </row>
    <row r="291" spans="1:39" x14ac:dyDescent="0.35">
      <c r="A291" s="6" t="e">
        <f>IF('Coach Card'!$T$5="",IF($B$1="Solo",IF(L290="","",L290),IF($B$1="MSolo",IF(O290="","",O290),IF($B$1="Duet",IF(R290="","",R290),IF($B$1="Mixed",IF(U290="","",U290),IF(X290="","",X290))))),IF($B$1="Solo",IF(L790="","",L790),IF($B$1="MSolo",IF(L790="","",L790),IF($B$1="Duet",IF(O790="","",O790),IF($B$1="Mixed",IF(R790="","",R790),IF(U790="","",U790))))))</f>
        <v>#N/A</v>
      </c>
      <c r="B291" s="3" t="e">
        <f>IF('Coach Card'!$T$5="",IF($B$1="Solo",IF(M290="","",M290),IF($B$1="MSolo",IF(P290="","",P290),IF($B$1="Duet",IF(S290="","",S290),IF($B$1="Mixed",IF(V290="","",V290),IF(Y290="","",Y290))))),IF($B$1="Solo",IF(M790="","",M790),IF($B$1="MSolo",IF(M790="","",M790),IF($B$1="Duet",IF(P790="","",P790),IF($B$1="Mixed",IF(S790="","",S790),IF(V790="","",V790))))))</f>
        <v>#N/A</v>
      </c>
      <c r="C291" s="3" t="e">
        <f>IF('Coach Card'!$T$5="",IF($B$1="Solo",IF(N290="","",N290),IF($B$1="MSolo",IF(Q290="","",Q290),IF($B$1="Duet",IF(T290="","",T290),IF($B$1="Mixed",IF(W290="","",W290),IF(Z290="","",Z290))))),IF($B$1="Solo",IF(N790="","",N790),IF($B$1="MSolo",IF(N790="","",N790),IF($B$1="Duet",IF(Q790="","",Q790),IF($B$1="Mixed",IF(T790="","",T790),IF(W790="","",W790))))))</f>
        <v>#N/A</v>
      </c>
      <c r="D291" s="3" t="e">
        <f>IF('Coach Card'!$T$5="",IF($D$1="Team",IF(AG290="","",AG290),""),IF($D$1="Team",IF(AD790="","",AD790),""))</f>
        <v>#N/A</v>
      </c>
      <c r="E291" s="3" t="e">
        <f>IF('Coach Card'!$T$5="",IF($D$1="Team",IF(AH290="","",AH290),""),IF($D$1="Team",IF(AE790="","",AE790),""))</f>
        <v>#N/A</v>
      </c>
      <c r="O291" s="1"/>
      <c r="R291" s="1"/>
      <c r="U291" s="1"/>
      <c r="X291" s="1" t="s">
        <v>624</v>
      </c>
      <c r="Y291" t="s">
        <v>2248</v>
      </c>
      <c r="Z291" s="3">
        <v>0.2</v>
      </c>
      <c r="AK291" t="s">
        <v>2244</v>
      </c>
      <c r="AL291" t="s">
        <v>1823</v>
      </c>
      <c r="AM291">
        <v>0.5</v>
      </c>
    </row>
    <row r="292" spans="1:39" x14ac:dyDescent="0.35">
      <c r="A292" s="6" t="e">
        <f>IF('Coach Card'!$T$5="",IF($B$1="Solo",IF(L291="","",L291),IF($B$1="MSolo",IF(O291="","",O291),IF($B$1="Duet",IF(R291="","",R291),IF($B$1="Mixed",IF(U291="","",U291),IF(X291="","",X291))))),IF($B$1="Solo",IF(L791="","",L791),IF($B$1="MSolo",IF(L791="","",L791),IF($B$1="Duet",IF(O791="","",O791),IF($B$1="Mixed",IF(R791="","",R791),IF(U791="","",U791))))))</f>
        <v>#N/A</v>
      </c>
      <c r="B292" s="3" t="e">
        <f>IF('Coach Card'!$T$5="",IF($B$1="Solo",IF(M291="","",M291),IF($B$1="MSolo",IF(P291="","",P291),IF($B$1="Duet",IF(S291="","",S291),IF($B$1="Mixed",IF(V291="","",V291),IF(Y291="","",Y291))))),IF($B$1="Solo",IF(M791="","",M791),IF($B$1="MSolo",IF(M791="","",M791),IF($B$1="Duet",IF(P791="","",P791),IF($B$1="Mixed",IF(S791="","",S791),IF(V791="","",V791))))))</f>
        <v>#N/A</v>
      </c>
      <c r="C292" s="3" t="e">
        <f>IF('Coach Card'!$T$5="",IF($B$1="Solo",IF(N291="","",N291),IF($B$1="MSolo",IF(Q291="","",Q291),IF($B$1="Duet",IF(T291="","",T291),IF($B$1="Mixed",IF(W291="","",W291),IF(Z291="","",Z291))))),IF($B$1="Solo",IF(N791="","",N791),IF($B$1="MSolo",IF(N791="","",N791),IF($B$1="Duet",IF(Q791="","",Q791),IF($B$1="Mixed",IF(T791="","",T791),IF(W791="","",W791))))))</f>
        <v>#N/A</v>
      </c>
      <c r="D292" s="3" t="e">
        <f>IF('Coach Card'!$T$5="",IF($D$1="Team",IF(AG291="","",AG291),""),IF($D$1="Team",IF(AD791="","",AD791),""))</f>
        <v>#N/A</v>
      </c>
      <c r="E292" s="3" t="e">
        <f>IF('Coach Card'!$T$5="",IF($D$1="Team",IF(AH291="","",AH291),""),IF($D$1="Team",IF(AE791="","",AE791),""))</f>
        <v>#N/A</v>
      </c>
      <c r="O292" s="1"/>
      <c r="R292" s="1"/>
      <c r="U292" s="1"/>
      <c r="X292" s="1" t="s">
        <v>624</v>
      </c>
      <c r="Y292" t="s">
        <v>2249</v>
      </c>
      <c r="Z292" s="3">
        <v>0.22500000000000001</v>
      </c>
      <c r="AK292" t="s">
        <v>2245</v>
      </c>
      <c r="AL292" t="s">
        <v>1824</v>
      </c>
      <c r="AM292">
        <v>0.5</v>
      </c>
    </row>
    <row r="293" spans="1:39" x14ac:dyDescent="0.35">
      <c r="A293" s="6" t="e">
        <f>IF('Coach Card'!$T$5="",IF($B$1="Solo",IF(L292="","",L292),IF($B$1="MSolo",IF(O292="","",O292),IF($B$1="Duet",IF(R292="","",R292),IF($B$1="Mixed",IF(U292="","",U292),IF(X292="","",X292))))),IF($B$1="Solo",IF(L792="","",L792),IF($B$1="MSolo",IF(L792="","",L792),IF($B$1="Duet",IF(O792="","",O792),IF($B$1="Mixed",IF(R792="","",R792),IF(U792="","",U792))))))</f>
        <v>#N/A</v>
      </c>
      <c r="B293" s="3" t="e">
        <f>IF('Coach Card'!$T$5="",IF($B$1="Solo",IF(M292="","",M292),IF($B$1="MSolo",IF(P292="","",P292),IF($B$1="Duet",IF(S292="","",S292),IF($B$1="Mixed",IF(V292="","",V292),IF(Y292="","",Y292))))),IF($B$1="Solo",IF(M792="","",M792),IF($B$1="MSolo",IF(M792="","",M792),IF($B$1="Duet",IF(P792="","",P792),IF($B$1="Mixed",IF(S792="","",S792),IF(V792="","",V792))))))</f>
        <v>#N/A</v>
      </c>
      <c r="C293" s="3" t="e">
        <f>IF('Coach Card'!$T$5="",IF($B$1="Solo",IF(N292="","",N292),IF($B$1="MSolo",IF(Q292="","",Q292),IF($B$1="Duet",IF(T292="","",T292),IF($B$1="Mixed",IF(W292="","",W292),IF(Z292="","",Z292))))),IF($B$1="Solo",IF(N792="","",N792),IF($B$1="MSolo",IF(N792="","",N792),IF($B$1="Duet",IF(Q792="","",Q792),IF($B$1="Mixed",IF(T792="","",T792),IF(W792="","",W792))))))</f>
        <v>#N/A</v>
      </c>
      <c r="D293" s="3" t="e">
        <f>IF('Coach Card'!$T$5="",IF($D$1="Team",IF(AG292="","",AG292),""),IF($D$1="Team",IF(AD792="","",AD792),""))</f>
        <v>#N/A</v>
      </c>
      <c r="E293" s="3" t="e">
        <f>IF('Coach Card'!$T$5="",IF($D$1="Team",IF(AH292="","",AH292),""),IF($D$1="Team",IF(AE792="","",AE792),""))</f>
        <v>#N/A</v>
      </c>
      <c r="O293" s="1"/>
      <c r="R293" s="1"/>
      <c r="U293" s="1"/>
      <c r="X293" s="1" t="s">
        <v>624</v>
      </c>
      <c r="Y293" t="s">
        <v>2250</v>
      </c>
      <c r="Z293" s="3">
        <v>0.22500000000000001</v>
      </c>
      <c r="AK293" t="s">
        <v>2246</v>
      </c>
      <c r="AL293" t="s">
        <v>1825</v>
      </c>
      <c r="AM293">
        <v>0.5</v>
      </c>
    </row>
    <row r="294" spans="1:39" x14ac:dyDescent="0.35">
      <c r="A294" s="6" t="e">
        <f>IF('Coach Card'!$T$5="",IF($B$1="Solo",IF(L293="","",L293),IF($B$1="MSolo",IF(O293="","",O293),IF($B$1="Duet",IF(R293="","",R293),IF($B$1="Mixed",IF(U293="","",U293),IF(X293="","",X293))))),IF($B$1="Solo",IF(L793="","",L793),IF($B$1="MSolo",IF(L793="","",L793),IF($B$1="Duet",IF(O793="","",O793),IF($B$1="Mixed",IF(R793="","",R793),IF(U793="","",U793))))))</f>
        <v>#N/A</v>
      </c>
      <c r="B294" s="3" t="e">
        <f>IF('Coach Card'!$T$5="",IF($B$1="Solo",IF(M293="","",M293),IF($B$1="MSolo",IF(P293="","",P293),IF($B$1="Duet",IF(S293="","",S293),IF($B$1="Mixed",IF(V293="","",V293),IF(Y293="","",Y293))))),IF($B$1="Solo",IF(M793="","",M793),IF($B$1="MSolo",IF(M793="","",M793),IF($B$1="Duet",IF(P793="","",P793),IF($B$1="Mixed",IF(S793="","",S793),IF(V793="","",V793))))))</f>
        <v>#N/A</v>
      </c>
      <c r="C294" s="3" t="e">
        <f>IF('Coach Card'!$T$5="",IF($B$1="Solo",IF(N293="","",N293),IF($B$1="MSolo",IF(Q293="","",Q293),IF($B$1="Duet",IF(T293="","",T293),IF($B$1="Mixed",IF(W293="","",W293),IF(Z293="","",Z293))))),IF($B$1="Solo",IF(N793="","",N793),IF($B$1="MSolo",IF(N793="","",N793),IF($B$1="Duet",IF(Q793="","",Q793),IF($B$1="Mixed",IF(T793="","",T793),IF(W793="","",W793))))))</f>
        <v>#N/A</v>
      </c>
      <c r="D294" s="3" t="e">
        <f>IF('Coach Card'!$T$5="",IF($D$1="Team",IF(AG293="","",AG293),""),IF($D$1="Team",IF(AD793="","",AD793),""))</f>
        <v>#N/A</v>
      </c>
      <c r="E294" s="3" t="e">
        <f>IF('Coach Card'!$T$5="",IF($D$1="Team",IF(AH293="","",AH293),""),IF($D$1="Team",IF(AE793="","",AE793),""))</f>
        <v>#N/A</v>
      </c>
      <c r="O294" s="1"/>
      <c r="R294" s="1"/>
      <c r="U294" s="1"/>
      <c r="X294" s="1" t="s">
        <v>624</v>
      </c>
      <c r="Y294" t="s">
        <v>2251</v>
      </c>
      <c r="Z294" s="3">
        <v>0.22500000000000001</v>
      </c>
      <c r="AK294" t="s">
        <v>2247</v>
      </c>
      <c r="AL294" t="s">
        <v>1826</v>
      </c>
      <c r="AM294">
        <v>0.5</v>
      </c>
    </row>
    <row r="295" spans="1:39" x14ac:dyDescent="0.35">
      <c r="A295" s="6" t="e">
        <f>IF('Coach Card'!$T$5="",IF($B$1="Solo",IF(L294="","",L294),IF($B$1="MSolo",IF(O294="","",O294),IF($B$1="Duet",IF(R294="","",R294),IF($B$1="Mixed",IF(U294="","",U294),IF(X294="","",X294))))),IF($B$1="Solo",IF(L794="","",L794),IF($B$1="MSolo",IF(L794="","",L794),IF($B$1="Duet",IF(O794="","",O794),IF($B$1="Mixed",IF(R794="","",R794),IF(U794="","",U794))))))</f>
        <v>#N/A</v>
      </c>
      <c r="B295" s="3" t="e">
        <f>IF('Coach Card'!$T$5="",IF($B$1="Solo",IF(M294="","",M294),IF($B$1="MSolo",IF(P294="","",P294),IF($B$1="Duet",IF(S294="","",S294),IF($B$1="Mixed",IF(V294="","",V294),IF(Y294="","",Y294))))),IF($B$1="Solo",IF(M794="","",M794),IF($B$1="MSolo",IF(M794="","",M794),IF($B$1="Duet",IF(P794="","",P794),IF($B$1="Mixed",IF(S794="","",S794),IF(V794="","",V794))))))</f>
        <v>#N/A</v>
      </c>
      <c r="C295" s="3" t="e">
        <f>IF('Coach Card'!$T$5="",IF($B$1="Solo",IF(N294="","",N294),IF($B$1="MSolo",IF(Q294="","",Q294),IF($B$1="Duet",IF(T294="","",T294),IF($B$1="Mixed",IF(W294="","",W294),IF(Z294="","",Z294))))),IF($B$1="Solo",IF(N794="","",N794),IF($B$1="MSolo",IF(N794="","",N794),IF($B$1="Duet",IF(Q794="","",Q794),IF($B$1="Mixed",IF(T794="","",T794),IF(W794="","",W794))))))</f>
        <v>#N/A</v>
      </c>
      <c r="D295" s="3" t="e">
        <f>IF('Coach Card'!$T$5="",IF($D$1="Team",IF(AG294="","",AG294),""),IF($D$1="Team",IF(AD794="","",AD794),""))</f>
        <v>#N/A</v>
      </c>
      <c r="E295" s="3" t="e">
        <f>IF('Coach Card'!$T$5="",IF($D$1="Team",IF(AH294="","",AH294),""),IF($D$1="Team",IF(AE794="","",AE794),""))</f>
        <v>#N/A</v>
      </c>
      <c r="R295" s="1"/>
      <c r="U295" s="1"/>
      <c r="X295" s="1" t="s">
        <v>624</v>
      </c>
      <c r="Y295" t="s">
        <v>2252</v>
      </c>
      <c r="Z295" s="3">
        <v>0.22500000000000001</v>
      </c>
      <c r="AK295" t="s">
        <v>2248</v>
      </c>
      <c r="AL295" t="s">
        <v>1827</v>
      </c>
      <c r="AM295">
        <v>0.5</v>
      </c>
    </row>
    <row r="296" spans="1:39" x14ac:dyDescent="0.35">
      <c r="A296" s="6" t="e">
        <f>IF('Coach Card'!$T$5="",IF($B$1="Solo",IF(L295="","",L295),IF($B$1="MSolo",IF(O295="","",O295),IF($B$1="Duet",IF(R295="","",R295),IF($B$1="Mixed",IF(U295="","",U295),IF(X295="","",X295))))),IF($B$1="Solo",IF(L795="","",L795),IF($B$1="MSolo",IF(L795="","",L795),IF($B$1="Duet",IF(O795="","",O795),IF($B$1="Mixed",IF(R795="","",R795),IF(U795="","",U795))))))</f>
        <v>#N/A</v>
      </c>
      <c r="B296" s="3" t="e">
        <f>IF('Coach Card'!$T$5="",IF($B$1="Solo",IF(M295="","",M295),IF($B$1="MSolo",IF(P295="","",P295),IF($B$1="Duet",IF(S295="","",S295),IF($B$1="Mixed",IF(V295="","",V295),IF(Y295="","",Y295))))),IF($B$1="Solo",IF(M795="","",M795),IF($B$1="MSolo",IF(M795="","",M795),IF($B$1="Duet",IF(P795="","",P795),IF($B$1="Mixed",IF(S795="","",S795),IF(V795="","",V795))))))</f>
        <v>#N/A</v>
      </c>
      <c r="C296" s="3" t="e">
        <f>IF('Coach Card'!$T$5="",IF($B$1="Solo",IF(N295="","",N295),IF($B$1="MSolo",IF(Q295="","",Q295),IF($B$1="Duet",IF(T295="","",T295),IF($B$1="Mixed",IF(W295="","",W295),IF(Z295="","",Z295))))),IF($B$1="Solo",IF(N795="","",N795),IF($B$1="MSolo",IF(N795="","",N795),IF($B$1="Duet",IF(Q795="","",Q795),IF($B$1="Mixed",IF(T795="","",T795),IF(W795="","",W795))))))</f>
        <v>#N/A</v>
      </c>
      <c r="D296" s="3" t="e">
        <f>IF('Coach Card'!$T$5="",IF($D$1="Team",IF(AG295="","",AG295),""),IF($D$1="Team",IF(AD795="","",AD795),""))</f>
        <v>#N/A</v>
      </c>
      <c r="E296" s="3" t="e">
        <f>IF('Coach Card'!$T$5="",IF($D$1="Team",IF(AH295="","",AH295),""),IF($D$1="Team",IF(AE795="","",AE795),""))</f>
        <v>#N/A</v>
      </c>
      <c r="R296" s="1"/>
      <c r="U296" s="1"/>
      <c r="X296" s="1" t="s">
        <v>624</v>
      </c>
      <c r="Y296" t="s">
        <v>2253</v>
      </c>
      <c r="Z296" s="3">
        <v>0.25</v>
      </c>
      <c r="AK296" t="s">
        <v>2249</v>
      </c>
      <c r="AL296" t="s">
        <v>1828</v>
      </c>
      <c r="AM296">
        <v>0.5</v>
      </c>
    </row>
    <row r="297" spans="1:39" x14ac:dyDescent="0.35">
      <c r="A297" s="6" t="e">
        <f>IF('Coach Card'!$T$5="",IF($B$1="Solo",IF(L296="","",L296),IF($B$1="MSolo",IF(O296="","",O296),IF($B$1="Duet",IF(R296="","",R296),IF($B$1="Mixed",IF(U296="","",U296),IF(X296="","",X296))))),IF($B$1="Solo",IF(L796="","",L796),IF($B$1="MSolo",IF(L796="","",L796),IF($B$1="Duet",IF(O796="","",O796),IF($B$1="Mixed",IF(R796="","",R796),IF(U796="","",U796))))))</f>
        <v>#N/A</v>
      </c>
      <c r="B297" s="3" t="e">
        <f>IF('Coach Card'!$T$5="",IF($B$1="Solo",IF(M296="","",M296),IF($B$1="MSolo",IF(P296="","",P296),IF($B$1="Duet",IF(S296="","",S296),IF($B$1="Mixed",IF(V296="","",V296),IF(Y296="","",Y296))))),IF($B$1="Solo",IF(M796="","",M796),IF($B$1="MSolo",IF(M796="","",M796),IF($B$1="Duet",IF(P796="","",P796),IF($B$1="Mixed",IF(S796="","",S796),IF(V796="","",V796))))))</f>
        <v>#N/A</v>
      </c>
      <c r="C297" s="3" t="e">
        <f>IF('Coach Card'!$T$5="",IF($B$1="Solo",IF(N296="","",N296),IF($B$1="MSolo",IF(Q296="","",Q296),IF($B$1="Duet",IF(T296="","",T296),IF($B$1="Mixed",IF(W296="","",W296),IF(Z296="","",Z296))))),IF($B$1="Solo",IF(N796="","",N796),IF($B$1="MSolo",IF(N796="","",N796),IF($B$1="Duet",IF(Q796="","",Q796),IF($B$1="Mixed",IF(T796="","",T796),IF(W796="","",W796))))))</f>
        <v>#N/A</v>
      </c>
      <c r="D297" s="3" t="e">
        <f>IF('Coach Card'!$T$5="",IF($D$1="Team",IF(AG296="","",AG296),""),IF($D$1="Team",IF(AD796="","",AD796),""))</f>
        <v>#N/A</v>
      </c>
      <c r="E297" s="3" t="e">
        <f>IF('Coach Card'!$T$5="",IF($D$1="Team",IF(AH296="","",AH296),""),IF($D$1="Team",IF(AE796="","",AE796),""))</f>
        <v>#N/A</v>
      </c>
      <c r="R297" s="1"/>
      <c r="U297" s="1"/>
      <c r="X297" s="1" t="s">
        <v>624</v>
      </c>
      <c r="Y297" t="s">
        <v>2254</v>
      </c>
      <c r="Z297" s="3">
        <v>0.32500000000000001</v>
      </c>
      <c r="AK297" t="s">
        <v>2250</v>
      </c>
      <c r="AL297" t="s">
        <v>1829</v>
      </c>
      <c r="AM297">
        <v>0.5</v>
      </c>
    </row>
    <row r="298" spans="1:39" x14ac:dyDescent="0.35">
      <c r="A298" s="6" t="e">
        <f>IF('Coach Card'!$T$5="",IF($B$1="Solo",IF(L297="","",L297),IF($B$1="MSolo",IF(O297="","",O297),IF($B$1="Duet",IF(R297="","",R297),IF($B$1="Mixed",IF(U297="","",U297),IF(X297="","",X297))))),IF($B$1="Solo",IF(L797="","",L797),IF($B$1="MSolo",IF(L797="","",L797),IF($B$1="Duet",IF(O797="","",O797),IF($B$1="Mixed",IF(R797="","",R797),IF(U797="","",U797))))))</f>
        <v>#N/A</v>
      </c>
      <c r="B298" s="3" t="e">
        <f>IF('Coach Card'!$T$5="",IF($B$1="Solo",IF(M297="","",M297),IF($B$1="MSolo",IF(P297="","",P297),IF($B$1="Duet",IF(S297="","",S297),IF($B$1="Mixed",IF(V297="","",V297),IF(Y297="","",Y297))))),IF($B$1="Solo",IF(M797="","",M797),IF($B$1="MSolo",IF(M797="","",M797),IF($B$1="Duet",IF(P797="","",P797),IF($B$1="Mixed",IF(S797="","",S797),IF(V797="","",V797))))))</f>
        <v>#N/A</v>
      </c>
      <c r="C298" s="3" t="e">
        <f>IF('Coach Card'!$T$5="",IF($B$1="Solo",IF(N297="","",N297),IF($B$1="MSolo",IF(Q297="","",Q297),IF($B$1="Duet",IF(T297="","",T297),IF($B$1="Mixed",IF(W297="","",W297),IF(Z297="","",Z297))))),IF($B$1="Solo",IF(N797="","",N797),IF($B$1="MSolo",IF(N797="","",N797),IF($B$1="Duet",IF(Q797="","",Q797),IF($B$1="Mixed",IF(T797="","",T797),IF(W797="","",W797))))))</f>
        <v>#N/A</v>
      </c>
      <c r="D298" s="3" t="e">
        <f>IF('Coach Card'!$T$5="",IF($D$1="Team",IF(AG297="","",AG297),""),IF($D$1="Team",IF(AD797="","",AD797),""))</f>
        <v>#N/A</v>
      </c>
      <c r="E298" s="3" t="e">
        <f>IF('Coach Card'!$T$5="",IF($D$1="Team",IF(AH297="","",AH297),""),IF($D$1="Team",IF(AE797="","",AE797),""))</f>
        <v>#N/A</v>
      </c>
      <c r="X298" s="1" t="s">
        <v>624</v>
      </c>
      <c r="Y298" t="s">
        <v>2255</v>
      </c>
      <c r="Z298" s="3">
        <v>0.32500000000000001</v>
      </c>
      <c r="AK298" t="s">
        <v>2251</v>
      </c>
      <c r="AL298" t="s">
        <v>1830</v>
      </c>
      <c r="AM298">
        <v>0.5</v>
      </c>
    </row>
    <row r="299" spans="1:39" x14ac:dyDescent="0.35">
      <c r="A299" s="6" t="e">
        <f>IF('Coach Card'!$T$5="",IF($B$1="Solo",IF(L298="","",L298),IF($B$1="MSolo",IF(O298="","",O298),IF($B$1="Duet",IF(R298="","",R298),IF($B$1="Mixed",IF(U298="","",U298),IF(X298="","",X298))))),IF($B$1="Solo",IF(L798="","",L798),IF($B$1="MSolo",IF(L798="","",L798),IF($B$1="Duet",IF(O798="","",O798),IF($B$1="Mixed",IF(R798="","",R798),IF(U798="","",U798))))))</f>
        <v>#N/A</v>
      </c>
      <c r="B299" s="3" t="e">
        <f>IF('Coach Card'!$T$5="",IF($B$1="Solo",IF(M298="","",M298),IF($B$1="MSolo",IF(P298="","",P298),IF($B$1="Duet",IF(S298="","",S298),IF($B$1="Mixed",IF(V298="","",V298),IF(Y298="","",Y298))))),IF($B$1="Solo",IF(M798="","",M798),IF($B$1="MSolo",IF(M798="","",M798),IF($B$1="Duet",IF(P798="","",P798),IF($B$1="Mixed",IF(S798="","",S798),IF(V798="","",V798))))))</f>
        <v>#N/A</v>
      </c>
      <c r="C299" s="3" t="e">
        <f>IF('Coach Card'!$T$5="",IF($B$1="Solo",IF(N298="","",N298),IF($B$1="MSolo",IF(Q298="","",Q298),IF($B$1="Duet",IF(T298="","",T298),IF($B$1="Mixed",IF(W298="","",W298),IF(Z298="","",Z298))))),IF($B$1="Solo",IF(N798="","",N798),IF($B$1="MSolo",IF(N798="","",N798),IF($B$1="Duet",IF(Q798="","",Q798),IF($B$1="Mixed",IF(T798="","",T798),IF(W798="","",W798))))))</f>
        <v>#N/A</v>
      </c>
      <c r="D299" s="3" t="e">
        <f>IF('Coach Card'!$T$5="",IF($D$1="Team",IF(AG298="","",AG298),""),IF($D$1="Team",IF(AD798="","",AD798),""))</f>
        <v>#N/A</v>
      </c>
      <c r="E299" s="3" t="e">
        <f>IF('Coach Card'!$T$5="",IF($D$1="Team",IF(AH298="","",AH298),""),IF($D$1="Team",IF(AE798="","",AE798),""))</f>
        <v>#N/A</v>
      </c>
      <c r="X299" s="1" t="s">
        <v>624</v>
      </c>
      <c r="Y299" t="s">
        <v>2256</v>
      </c>
      <c r="Z299" s="3">
        <v>0.375</v>
      </c>
      <c r="AK299" t="s">
        <v>2252</v>
      </c>
      <c r="AL299" t="s">
        <v>1831</v>
      </c>
      <c r="AM299">
        <v>0.5</v>
      </c>
    </row>
    <row r="300" spans="1:39" x14ac:dyDescent="0.35">
      <c r="A300" s="6" t="e">
        <f>IF('Coach Card'!$T$5="",IF($B$1="Solo",IF(L299="","",L299),IF($B$1="MSolo",IF(O299="","",O299),IF($B$1="Duet",IF(R299="","",R299),IF($B$1="Mixed",IF(U299="","",U299),IF(X299="","",X299))))),IF($B$1="Solo",IF(L799="","",L799),IF($B$1="MSolo",IF(L799="","",L799),IF($B$1="Duet",IF(O799="","",O799),IF($B$1="Mixed",IF(R799="","",R799),IF(U799="","",U799))))))</f>
        <v>#N/A</v>
      </c>
      <c r="B300" s="3" t="e">
        <f>IF('Coach Card'!$T$5="",IF($B$1="Solo",IF(M299="","",M299),IF($B$1="MSolo",IF(P299="","",P299),IF($B$1="Duet",IF(S299="","",S299),IF($B$1="Mixed",IF(V299="","",V299),IF(Y299="","",Y299))))),IF($B$1="Solo",IF(M799="","",M799),IF($B$1="MSolo",IF(M799="","",M799),IF($B$1="Duet",IF(P799="","",P799),IF($B$1="Mixed",IF(S799="","",S799),IF(V799="","",V799))))))</f>
        <v>#N/A</v>
      </c>
      <c r="C300" s="3" t="e">
        <f>IF('Coach Card'!$T$5="",IF($B$1="Solo",IF(N299="","",N299),IF($B$1="MSolo",IF(Q299="","",Q299),IF($B$1="Duet",IF(T299="","",T299),IF($B$1="Mixed",IF(W299="","",W299),IF(Z299="","",Z299))))),IF($B$1="Solo",IF(N799="","",N799),IF($B$1="MSolo",IF(N799="","",N799),IF($B$1="Duet",IF(Q799="","",Q799),IF($B$1="Mixed",IF(T799="","",T799),IF(W799="","",W799))))))</f>
        <v>#N/A</v>
      </c>
      <c r="D300" s="3" t="e">
        <f>IF('Coach Card'!$T$5="",IF($D$1="Team",IF(AG299="","",AG299),""),IF($D$1="Team",IF(AD799="","",AD799),""))</f>
        <v>#N/A</v>
      </c>
      <c r="E300" s="3" t="e">
        <f>IF('Coach Card'!$T$5="",IF($D$1="Team",IF(AH299="","",AH299),""),IF($D$1="Team",IF(AE799="","",AE799),""))</f>
        <v>#N/A</v>
      </c>
      <c r="X300" s="1" t="s">
        <v>624</v>
      </c>
      <c r="Y300" t="s">
        <v>2257</v>
      </c>
      <c r="Z300" s="3">
        <v>0.5</v>
      </c>
      <c r="AK300" t="s">
        <v>2253</v>
      </c>
      <c r="AL300" t="s">
        <v>1699</v>
      </c>
      <c r="AM300">
        <v>0.5</v>
      </c>
    </row>
    <row r="301" spans="1:39" x14ac:dyDescent="0.35">
      <c r="A301" s="6" t="e">
        <f>IF('Coach Card'!$T$5="",IF($B$1="Solo",IF(L300="","",L300),IF($B$1="MSolo",IF(O300="","",O300),IF($B$1="Duet",IF(R300="","",R300),IF($B$1="Mixed",IF(U300="","",U300),IF(X300="","",X300))))),IF($B$1="Solo",IF(L800="","",L800),IF($B$1="MSolo",IF(L800="","",L800),IF($B$1="Duet",IF(O800="","",O800),IF($B$1="Mixed",IF(R800="","",R800),IF(U800="","",U800))))))</f>
        <v>#N/A</v>
      </c>
      <c r="B301" s="3" t="e">
        <f>IF('Coach Card'!$T$5="",IF($B$1="Solo",IF(M300="","",M300),IF($B$1="MSolo",IF(P300="","",P300),IF($B$1="Duet",IF(S300="","",S300),IF($B$1="Mixed",IF(V300="","",V300),IF(Y300="","",Y300))))),IF($B$1="Solo",IF(M800="","",M800),IF($B$1="MSolo",IF(M800="","",M800),IF($B$1="Duet",IF(P800="","",P800),IF($B$1="Mixed",IF(S800="","",S800),IF(V800="","",V800))))))</f>
        <v>#N/A</v>
      </c>
      <c r="C301" s="3" t="e">
        <f>IF('Coach Card'!$T$5="",IF($B$1="Solo",IF(N300="","",N300),IF($B$1="MSolo",IF(Q300="","",Q300),IF($B$1="Duet",IF(T300="","",T300),IF($B$1="Mixed",IF(W300="","",W300),IF(Z300="","",Z300))))),IF($B$1="Solo",IF(N800="","",N800),IF($B$1="MSolo",IF(N800="","",N800),IF($B$1="Duet",IF(Q800="","",Q800),IF($B$1="Mixed",IF(T800="","",T800),IF(W800="","",W800))))))</f>
        <v>#N/A</v>
      </c>
      <c r="D301" s="3" t="e">
        <f>IF('Coach Card'!$T$5="",IF($D$1="Team",IF(AG300="","",AG300),""),IF($D$1="Team",IF(AD800="","",AD800),""))</f>
        <v>#N/A</v>
      </c>
      <c r="E301" s="3" t="e">
        <f>IF('Coach Card'!$T$5="",IF($D$1="Team",IF(AH300="","",AH300),""),IF($D$1="Team",IF(AE800="","",AE800),""))</f>
        <v>#N/A</v>
      </c>
      <c r="X301" s="1" t="s">
        <v>625</v>
      </c>
      <c r="Y301" t="s">
        <v>1996</v>
      </c>
      <c r="Z301" s="3">
        <v>0.05</v>
      </c>
      <c r="AK301" t="s">
        <v>2254</v>
      </c>
      <c r="AL301" t="s">
        <v>1832</v>
      </c>
      <c r="AM301">
        <v>0.5</v>
      </c>
    </row>
    <row r="302" spans="1:39" x14ac:dyDescent="0.35">
      <c r="A302" s="6" t="e">
        <f>IF('Coach Card'!$T$5="",IF($B$1="Solo",IF(L301="","",L301),IF($B$1="MSolo",IF(O301="","",O301),IF($B$1="Duet",IF(R301="","",R301),IF($B$1="Mixed",IF(U301="","",U301),IF(X301="","",X301))))),IF($B$1="Solo",IF(L801="","",L801),IF($B$1="MSolo",IF(L801="","",L801),IF($B$1="Duet",IF(O801="","",O801),IF($B$1="Mixed",IF(R801="","",R801),IF(U801="","",U801))))))</f>
        <v>#N/A</v>
      </c>
      <c r="B302" s="3" t="e">
        <f>IF('Coach Card'!$T$5="",IF($B$1="Solo",IF(M301="","",M301),IF($B$1="MSolo",IF(P301="","",P301),IF($B$1="Duet",IF(S301="","",S301),IF($B$1="Mixed",IF(V301="","",V301),IF(Y301="","",Y301))))),IF($B$1="Solo",IF(M801="","",M801),IF($B$1="MSolo",IF(M801="","",M801),IF($B$1="Duet",IF(P801="","",P801),IF($B$1="Mixed",IF(S801="","",S801),IF(V801="","",V801))))))</f>
        <v>#N/A</v>
      </c>
      <c r="C302" s="3" t="e">
        <f>IF('Coach Card'!$T$5="",IF($B$1="Solo",IF(N301="","",N301),IF($B$1="MSolo",IF(Q301="","",Q301),IF($B$1="Duet",IF(T301="","",T301),IF($B$1="Mixed",IF(W301="","",W301),IF(Z301="","",Z301))))),IF($B$1="Solo",IF(N801="","",N801),IF($B$1="MSolo",IF(N801="","",N801),IF($B$1="Duet",IF(Q801="","",Q801),IF($B$1="Mixed",IF(T801="","",T801),IF(W801="","",W801))))))</f>
        <v>#N/A</v>
      </c>
      <c r="D302" s="3" t="e">
        <f>IF('Coach Card'!$T$5="",IF($D$1="Team",IF(AG301="","",AG301),""),IF($D$1="Team",IF(AD801="","",AD801),""))</f>
        <v>#N/A</v>
      </c>
      <c r="E302" s="3" t="e">
        <f>IF('Coach Card'!$T$5="",IF($D$1="Team",IF(AH301="","",AH301),""),IF($D$1="Team",IF(AE801="","",AE801),""))</f>
        <v>#N/A</v>
      </c>
      <c r="X302" s="1" t="s">
        <v>625</v>
      </c>
      <c r="Y302" t="s">
        <v>2271</v>
      </c>
      <c r="Z302" s="3">
        <v>0.1</v>
      </c>
      <c r="AK302" t="s">
        <v>2255</v>
      </c>
      <c r="AL302" t="s">
        <v>1833</v>
      </c>
      <c r="AM302">
        <v>0.5</v>
      </c>
    </row>
    <row r="303" spans="1:39" x14ac:dyDescent="0.35">
      <c r="A303" s="6" t="e">
        <f>IF('Coach Card'!$T$5="",IF($B$1="Solo",IF(L302="","",L302),IF($B$1="MSolo",IF(O302="","",O302),IF($B$1="Duet",IF(R302="","",R302),IF($B$1="Mixed",IF(U302="","",U302),IF(X302="","",X302))))),IF($B$1="Solo",IF(L802="","",L802),IF($B$1="MSolo",IF(L802="","",L802),IF($B$1="Duet",IF(O802="","",O802),IF($B$1="Mixed",IF(R802="","",R802),IF(U802="","",U802))))))</f>
        <v>#N/A</v>
      </c>
      <c r="B303" s="3" t="e">
        <f>IF('Coach Card'!$T$5="",IF($B$1="Solo",IF(M302="","",M302),IF($B$1="MSolo",IF(P302="","",P302),IF($B$1="Duet",IF(S302="","",S302),IF($B$1="Mixed",IF(V302="","",V302),IF(Y302="","",Y302))))),IF($B$1="Solo",IF(M802="","",M802),IF($B$1="MSolo",IF(M802="","",M802),IF($B$1="Duet",IF(P802="","",P802),IF($B$1="Mixed",IF(S802="","",S802),IF(V802="","",V802))))))</f>
        <v>#N/A</v>
      </c>
      <c r="C303" s="3" t="e">
        <f>IF('Coach Card'!$T$5="",IF($B$1="Solo",IF(N302="","",N302),IF($B$1="MSolo",IF(Q302="","",Q302),IF($B$1="Duet",IF(T302="","",T302),IF($B$1="Mixed",IF(W302="","",W302),IF(Z302="","",Z302))))),IF($B$1="Solo",IF(N802="","",N802),IF($B$1="MSolo",IF(N802="","",N802),IF($B$1="Duet",IF(Q802="","",Q802),IF($B$1="Mixed",IF(T802="","",T802),IF(W802="","",W802))))))</f>
        <v>#N/A</v>
      </c>
      <c r="D303" s="3" t="e">
        <f>IF('Coach Card'!$T$5="",IF($D$1="Team",IF(AG302="","",AG302),""),IF($D$1="Team",IF(AD802="","",AD802),""))</f>
        <v>#N/A</v>
      </c>
      <c r="E303" s="3" t="e">
        <f>IF('Coach Card'!$T$5="",IF($D$1="Team",IF(AH302="","",AH302),""),IF($D$1="Team",IF(AE802="","",AE802),""))</f>
        <v>#N/A</v>
      </c>
      <c r="X303" s="1" t="s">
        <v>625</v>
      </c>
      <c r="Y303" t="s">
        <v>1997</v>
      </c>
      <c r="Z303" s="3">
        <v>0.1</v>
      </c>
      <c r="AK303" t="s">
        <v>2256</v>
      </c>
      <c r="AL303" t="s">
        <v>1700</v>
      </c>
      <c r="AM303">
        <v>0.5</v>
      </c>
    </row>
    <row r="304" spans="1:39" x14ac:dyDescent="0.35">
      <c r="A304" s="6" t="e">
        <f>IF('Coach Card'!$T$5="",IF($B$1="Solo",IF(L303="","",L303),IF($B$1="MSolo",IF(O303="","",O303),IF($B$1="Duet",IF(R303="","",R303),IF($B$1="Mixed",IF(U303="","",U303),IF(X303="","",X303))))),IF($B$1="Solo",IF(L803="","",L803),IF($B$1="MSolo",IF(L803="","",L803),IF($B$1="Duet",IF(O803="","",O803),IF($B$1="Mixed",IF(R803="","",R803),IF(U803="","",U803))))))</f>
        <v>#N/A</v>
      </c>
      <c r="B304" s="3" t="e">
        <f>IF('Coach Card'!$T$5="",IF($B$1="Solo",IF(M303="","",M303),IF($B$1="MSolo",IF(P303="","",P303),IF($B$1="Duet",IF(S303="","",S303),IF($B$1="Mixed",IF(V303="","",V303),IF(Y303="","",Y303))))),IF($B$1="Solo",IF(M803="","",M803),IF($B$1="MSolo",IF(M803="","",M803),IF($B$1="Duet",IF(P803="","",P803),IF($B$1="Mixed",IF(S803="","",S803),IF(V803="","",V803))))))</f>
        <v>#N/A</v>
      </c>
      <c r="C304" s="3" t="e">
        <f>IF('Coach Card'!$T$5="",IF($B$1="Solo",IF(N303="","",N303),IF($B$1="MSolo",IF(Q303="","",Q303),IF($B$1="Duet",IF(T303="","",T303),IF($B$1="Mixed",IF(W303="","",W303),IF(Z303="","",Z303))))),IF($B$1="Solo",IF(N803="","",N803),IF($B$1="MSolo",IF(N803="","",N803),IF($B$1="Duet",IF(Q803="","",Q803),IF($B$1="Mixed",IF(T803="","",T803),IF(W803="","",W803))))))</f>
        <v>#N/A</v>
      </c>
      <c r="D304" s="3" t="e">
        <f>IF('Coach Card'!$T$5="",IF($D$1="Team",IF(AG303="","",AG303),""),IF($D$1="Team",IF(AD803="","",AD803),""))</f>
        <v>#N/A</v>
      </c>
      <c r="E304" s="3" t="e">
        <f>IF('Coach Card'!$T$5="",IF($D$1="Team",IF(AH303="","",AH303),""),IF($D$1="Team",IF(AE803="","",AE803),""))</f>
        <v>#N/A</v>
      </c>
      <c r="X304" s="1" t="s">
        <v>625</v>
      </c>
      <c r="Y304" t="s">
        <v>2272</v>
      </c>
      <c r="Z304" s="3">
        <v>0.15</v>
      </c>
      <c r="AK304" t="s">
        <v>2257</v>
      </c>
      <c r="AL304" t="s">
        <v>1701</v>
      </c>
      <c r="AM304">
        <v>0.5</v>
      </c>
    </row>
    <row r="305" spans="1:39" x14ac:dyDescent="0.35">
      <c r="A305" s="6" t="e">
        <f>IF('Coach Card'!$T$5="",IF($B$1="Solo",IF(L304="","",L304),IF($B$1="MSolo",IF(O304="","",O304),IF($B$1="Duet",IF(R304="","",R304),IF($B$1="Mixed",IF(U304="","",U304),IF(X304="","",X304))))),IF($B$1="Solo",IF(L804="","",L804),IF($B$1="MSolo",IF(L804="","",L804),IF($B$1="Duet",IF(O804="","",O804),IF($B$1="Mixed",IF(R804="","",R804),IF(U804="","",U804))))))</f>
        <v>#N/A</v>
      </c>
      <c r="B305" s="3" t="e">
        <f>IF('Coach Card'!$T$5="",IF($B$1="Solo",IF(M304="","",M304),IF($B$1="MSolo",IF(P304="","",P304),IF($B$1="Duet",IF(S304="","",S304),IF($B$1="Mixed",IF(V304="","",V304),IF(Y304="","",Y304))))),IF($B$1="Solo",IF(M804="","",M804),IF($B$1="MSolo",IF(M804="","",M804),IF($B$1="Duet",IF(P804="","",P804),IF($B$1="Mixed",IF(S804="","",S804),IF(V804="","",V804))))))</f>
        <v>#N/A</v>
      </c>
      <c r="C305" s="3" t="e">
        <f>IF('Coach Card'!$T$5="",IF($B$1="Solo",IF(N304="","",N304),IF($B$1="MSolo",IF(Q304="","",Q304),IF($B$1="Duet",IF(T304="","",T304),IF($B$1="Mixed",IF(W304="","",W304),IF(Z304="","",Z304))))),IF($B$1="Solo",IF(N804="","",N804),IF($B$1="MSolo",IF(N804="","",N804),IF($B$1="Duet",IF(Q804="","",Q804),IF($B$1="Mixed",IF(T804="","",T804),IF(W804="","",W804))))))</f>
        <v>#N/A</v>
      </c>
      <c r="D305" s="3" t="e">
        <f>IF('Coach Card'!$T$5="",IF($D$1="Team",IF(AG304="","",AG304),""),IF($D$1="Team",IF(AD804="","",AD804),""))</f>
        <v>#N/A</v>
      </c>
      <c r="E305" s="3" t="e">
        <f>IF('Coach Card'!$T$5="",IF($D$1="Team",IF(AH304="","",AH304),""),IF($D$1="Team",IF(AE804="","",AE804),""))</f>
        <v>#N/A</v>
      </c>
      <c r="X305" s="1" t="s">
        <v>625</v>
      </c>
      <c r="Y305" t="s">
        <v>1998</v>
      </c>
      <c r="Z305" s="3">
        <v>0.1</v>
      </c>
      <c r="AK305" t="s">
        <v>1996</v>
      </c>
      <c r="AL305" t="s">
        <v>1702</v>
      </c>
      <c r="AM305">
        <v>0.5</v>
      </c>
    </row>
    <row r="306" spans="1:39" x14ac:dyDescent="0.35">
      <c r="A306" s="6" t="e">
        <f>IF('Coach Card'!$T$5="",IF($B$1="Solo",IF(L305="","",L305),IF($B$1="MSolo",IF(O305="","",O305),IF($B$1="Duet",IF(R305="","",R305),IF($B$1="Mixed",IF(U305="","",U305),IF(X305="","",X305))))),IF($B$1="Solo",IF(L805="","",L805),IF($B$1="MSolo",IF(L805="","",L805),IF($B$1="Duet",IF(O805="","",O805),IF($B$1="Mixed",IF(R805="","",R805),IF(U805="","",U805))))))</f>
        <v>#N/A</v>
      </c>
      <c r="B306" s="3" t="e">
        <f>IF('Coach Card'!$T$5="",IF($B$1="Solo",IF(M305="","",M305),IF($B$1="MSolo",IF(P305="","",P305),IF($B$1="Duet",IF(S305="","",S305),IF($B$1="Mixed",IF(V305="","",V305),IF(Y305="","",Y305))))),IF($B$1="Solo",IF(M805="","",M805),IF($B$1="MSolo",IF(M805="","",M805),IF($B$1="Duet",IF(P805="","",P805),IF($B$1="Mixed",IF(S805="","",S805),IF(V805="","",V805))))))</f>
        <v>#N/A</v>
      </c>
      <c r="C306" s="3" t="e">
        <f>IF('Coach Card'!$T$5="",IF($B$1="Solo",IF(N305="","",N305),IF($B$1="MSolo",IF(Q305="","",Q305),IF($B$1="Duet",IF(T305="","",T305),IF($B$1="Mixed",IF(W305="","",W305),IF(Z305="","",Z305))))),IF($B$1="Solo",IF(N805="","",N805),IF($B$1="MSolo",IF(N805="","",N805),IF($B$1="Duet",IF(Q805="","",Q805),IF($B$1="Mixed",IF(T805="","",T805),IF(W805="","",W805))))))</f>
        <v>#N/A</v>
      </c>
      <c r="D306" s="3" t="e">
        <f>IF('Coach Card'!$T$5="",IF($D$1="Team",IF(AG305="","",AG305),""),IF($D$1="Team",IF(AD805="","",AD805),""))</f>
        <v>#N/A</v>
      </c>
      <c r="E306" s="3" t="e">
        <f>IF('Coach Card'!$T$5="",IF($D$1="Team",IF(AH305="","",AH305),""),IF($D$1="Team",IF(AE805="","",AE805),""))</f>
        <v>#N/A</v>
      </c>
      <c r="X306" s="1" t="s">
        <v>625</v>
      </c>
      <c r="Y306" t="s">
        <v>2273</v>
      </c>
      <c r="Z306" s="3">
        <v>0.15</v>
      </c>
      <c r="AK306" t="s">
        <v>2271</v>
      </c>
      <c r="AL306" t="s">
        <v>1703</v>
      </c>
      <c r="AM306">
        <v>0.5</v>
      </c>
    </row>
    <row r="307" spans="1:39" x14ac:dyDescent="0.35">
      <c r="A307" s="6" t="e">
        <f>IF('Coach Card'!$T$5="",IF($B$1="Solo",IF(L306="","",L306),IF($B$1="MSolo",IF(O306="","",O306),IF($B$1="Duet",IF(R306="","",R306),IF($B$1="Mixed",IF(U306="","",U306),IF(X306="","",X306))))),IF($B$1="Solo",IF(L806="","",L806),IF($B$1="MSolo",IF(L806="","",L806),IF($B$1="Duet",IF(O806="","",O806),IF($B$1="Mixed",IF(R806="","",R806),IF(U806="","",U806))))))</f>
        <v>#N/A</v>
      </c>
      <c r="B307" s="3" t="e">
        <f>IF('Coach Card'!$T$5="",IF($B$1="Solo",IF(M306="","",M306),IF($B$1="MSolo",IF(P306="","",P306),IF($B$1="Duet",IF(S306="","",S306),IF($B$1="Mixed",IF(V306="","",V306),IF(Y306="","",Y306))))),IF($B$1="Solo",IF(M806="","",M806),IF($B$1="MSolo",IF(M806="","",M806),IF($B$1="Duet",IF(P806="","",P806),IF($B$1="Mixed",IF(S806="","",S806),IF(V806="","",V806))))))</f>
        <v>#N/A</v>
      </c>
      <c r="C307" s="3" t="e">
        <f>IF('Coach Card'!$T$5="",IF($B$1="Solo",IF(N306="","",N306),IF($B$1="MSolo",IF(Q306="","",Q306),IF($B$1="Duet",IF(T306="","",T306),IF($B$1="Mixed",IF(W306="","",W306),IF(Z306="","",Z306))))),IF($B$1="Solo",IF(N806="","",N806),IF($B$1="MSolo",IF(N806="","",N806),IF($B$1="Duet",IF(Q806="","",Q806),IF($B$1="Mixed",IF(T806="","",T806),IF(W806="","",W806))))))</f>
        <v>#N/A</v>
      </c>
      <c r="D307" s="3" t="e">
        <f>IF('Coach Card'!$T$5="",IF($D$1="Team",IF(AG306="","",AG306),""),IF($D$1="Team",IF(AD806="","",AD806),""))</f>
        <v>#N/A</v>
      </c>
      <c r="E307" s="3" t="e">
        <f>IF('Coach Card'!$T$5="",IF($D$1="Team",IF(AH306="","",AH306),""),IF($D$1="Team",IF(AE806="","",AE806),""))</f>
        <v>#N/A</v>
      </c>
      <c r="X307" s="1" t="s">
        <v>625</v>
      </c>
      <c r="Y307" t="s">
        <v>1999</v>
      </c>
      <c r="Z307" s="3">
        <v>0.15</v>
      </c>
      <c r="AK307" t="s">
        <v>1997</v>
      </c>
      <c r="AL307" t="s">
        <v>1834</v>
      </c>
      <c r="AM307">
        <v>0.5</v>
      </c>
    </row>
    <row r="308" spans="1:39" x14ac:dyDescent="0.35">
      <c r="A308" s="6" t="e">
        <f>IF('Coach Card'!$T$5="",IF($B$1="Solo",IF(L307="","",L307),IF($B$1="MSolo",IF(O307="","",O307),IF($B$1="Duet",IF(R307="","",R307),IF($B$1="Mixed",IF(U307="","",U307),IF(X307="","",X307))))),IF($B$1="Solo",IF(L807="","",L807),IF($B$1="MSolo",IF(L807="","",L807),IF($B$1="Duet",IF(O807="","",O807),IF($B$1="Mixed",IF(R807="","",R807),IF(U807="","",U807))))))</f>
        <v>#N/A</v>
      </c>
      <c r="B308" s="3" t="e">
        <f>IF('Coach Card'!$T$5="",IF($B$1="Solo",IF(M307="","",M307),IF($B$1="MSolo",IF(P307="","",P307),IF($B$1="Duet",IF(S307="","",S307),IF($B$1="Mixed",IF(V307="","",V307),IF(Y307="","",Y307))))),IF($B$1="Solo",IF(M807="","",M807),IF($B$1="MSolo",IF(M807="","",M807),IF($B$1="Duet",IF(P807="","",P807),IF($B$1="Mixed",IF(S807="","",S807),IF(V807="","",V807))))))</f>
        <v>#N/A</v>
      </c>
      <c r="C308" s="3" t="e">
        <f>IF('Coach Card'!$T$5="",IF($B$1="Solo",IF(N307="","",N307),IF($B$1="MSolo",IF(Q307="","",Q307),IF($B$1="Duet",IF(T307="","",T307),IF($B$1="Mixed",IF(W307="","",W307),IF(Z307="","",Z307))))),IF($B$1="Solo",IF(N807="","",N807),IF($B$1="MSolo",IF(N807="","",N807),IF($B$1="Duet",IF(Q807="","",Q807),IF($B$1="Mixed",IF(T807="","",T807),IF(W807="","",W807))))))</f>
        <v>#N/A</v>
      </c>
      <c r="D308" s="3" t="e">
        <f>IF('Coach Card'!$T$5="",IF($D$1="Team",IF(AG307="","",AG307),""),IF($D$1="Team",IF(AD807="","",AD807),""))</f>
        <v>#N/A</v>
      </c>
      <c r="E308" s="3" t="e">
        <f>IF('Coach Card'!$T$5="",IF($D$1="Team",IF(AH307="","",AH307),""),IF($D$1="Team",IF(AE807="","",AE807),""))</f>
        <v>#N/A</v>
      </c>
      <c r="X308" s="1" t="s">
        <v>625</v>
      </c>
      <c r="Y308" t="s">
        <v>2274</v>
      </c>
      <c r="Z308" s="3">
        <v>0.2</v>
      </c>
      <c r="AK308" t="s">
        <v>2272</v>
      </c>
      <c r="AL308" t="s">
        <v>1836</v>
      </c>
      <c r="AM308">
        <v>0.5</v>
      </c>
    </row>
    <row r="309" spans="1:39" x14ac:dyDescent="0.35">
      <c r="A309" s="6" t="e">
        <f>IF('Coach Card'!$T$5="",IF($B$1="Solo",IF(L308="","",L308),IF($B$1="MSolo",IF(O308="","",O308),IF($B$1="Duet",IF(R308="","",R308),IF($B$1="Mixed",IF(U308="","",U308),IF(X308="","",X308))))),IF($B$1="Solo",IF(L808="","",L808),IF($B$1="MSolo",IF(L808="","",L808),IF($B$1="Duet",IF(O808="","",O808),IF($B$1="Mixed",IF(R808="","",R808),IF(U808="","",U808))))))</f>
        <v>#N/A</v>
      </c>
      <c r="B309" s="3" t="e">
        <f>IF('Coach Card'!$T$5="",IF($B$1="Solo",IF(M308="","",M308),IF($B$1="MSolo",IF(P308="","",P308),IF($B$1="Duet",IF(S308="","",S308),IF($B$1="Mixed",IF(V308="","",V308),IF(Y308="","",Y308))))),IF($B$1="Solo",IF(M808="","",M808),IF($B$1="MSolo",IF(M808="","",M808),IF($B$1="Duet",IF(P808="","",P808),IF($B$1="Mixed",IF(S808="","",S808),IF(V808="","",V808))))))</f>
        <v>#N/A</v>
      </c>
      <c r="C309" s="3" t="e">
        <f>IF('Coach Card'!$T$5="",IF($B$1="Solo",IF(N308="","",N308),IF($B$1="MSolo",IF(Q308="","",Q308),IF($B$1="Duet",IF(T308="","",T308),IF($B$1="Mixed",IF(W308="","",W308),IF(Z308="","",Z308))))),IF($B$1="Solo",IF(N808="","",N808),IF($B$1="MSolo",IF(N808="","",N808),IF($B$1="Duet",IF(Q808="","",Q808),IF($B$1="Mixed",IF(T808="","",T808),IF(W808="","",W808))))))</f>
        <v>#N/A</v>
      </c>
      <c r="D309" s="3" t="e">
        <f>IF('Coach Card'!$T$5="",IF($D$1="Team",IF(AG308="","",AG308),""),IF($D$1="Team",IF(AD808="","",AD808),""))</f>
        <v>#N/A</v>
      </c>
      <c r="E309" s="3" t="e">
        <f>IF('Coach Card'!$T$5="",IF($D$1="Team",IF(AH308="","",AH308),""),IF($D$1="Team",IF(AE808="","",AE808),""))</f>
        <v>#N/A</v>
      </c>
      <c r="X309" s="1" t="s">
        <v>625</v>
      </c>
      <c r="Y309" t="s">
        <v>2000</v>
      </c>
      <c r="Z309" s="3">
        <v>0.15</v>
      </c>
      <c r="AK309" t="s">
        <v>1998</v>
      </c>
      <c r="AL309" t="s">
        <v>1835</v>
      </c>
      <c r="AM309">
        <v>0.5</v>
      </c>
    </row>
    <row r="310" spans="1:39" x14ac:dyDescent="0.35">
      <c r="A310" s="6" t="e">
        <f>IF('Coach Card'!$T$5="",IF($B$1="Solo",IF(L309="","",L309),IF($B$1="MSolo",IF(O309="","",O309),IF($B$1="Duet",IF(R309="","",R309),IF($B$1="Mixed",IF(U309="","",U309),IF(X309="","",X309))))),IF($B$1="Solo",IF(L809="","",L809),IF($B$1="MSolo",IF(L809="","",L809),IF($B$1="Duet",IF(O809="","",O809),IF($B$1="Mixed",IF(R809="","",R809),IF(U809="","",U809))))))</f>
        <v>#N/A</v>
      </c>
      <c r="B310" s="3" t="e">
        <f>IF('Coach Card'!$T$5="",IF($B$1="Solo",IF(M309="","",M309),IF($B$1="MSolo",IF(P309="","",P309),IF($B$1="Duet",IF(S309="","",S309),IF($B$1="Mixed",IF(V309="","",V309),IF(Y309="","",Y309))))),IF($B$1="Solo",IF(M809="","",M809),IF($B$1="MSolo",IF(M809="","",M809),IF($B$1="Duet",IF(P809="","",P809),IF($B$1="Mixed",IF(S809="","",S809),IF(V809="","",V809))))))</f>
        <v>#N/A</v>
      </c>
      <c r="C310" s="3" t="e">
        <f>IF('Coach Card'!$T$5="",IF($B$1="Solo",IF(N309="","",N309),IF($B$1="MSolo",IF(Q309="","",Q309),IF($B$1="Duet",IF(T309="","",T309),IF($B$1="Mixed",IF(W309="","",W309),IF(Z309="","",Z309))))),IF($B$1="Solo",IF(N809="","",N809),IF($B$1="MSolo",IF(N809="","",N809),IF($B$1="Duet",IF(Q809="","",Q809),IF($B$1="Mixed",IF(T809="","",T809),IF(W809="","",W809))))))</f>
        <v>#N/A</v>
      </c>
      <c r="D310" s="3" t="e">
        <f>IF('Coach Card'!$T$5="",IF($D$1="Team",IF(AG309="","",AG309),""),IF($D$1="Team",IF(AD809="","",AD809),""))</f>
        <v>#N/A</v>
      </c>
      <c r="E310" s="3" t="e">
        <f>IF('Coach Card'!$T$5="",IF($D$1="Team",IF(AH309="","",AH309),""),IF($D$1="Team",IF(AE809="","",AE809),""))</f>
        <v>#N/A</v>
      </c>
      <c r="X310" s="1" t="s">
        <v>625</v>
      </c>
      <c r="Y310" t="s">
        <v>2275</v>
      </c>
      <c r="Z310" s="3">
        <v>0.2</v>
      </c>
      <c r="AK310" t="s">
        <v>2273</v>
      </c>
      <c r="AL310" t="s">
        <v>1837</v>
      </c>
      <c r="AM310">
        <v>0.5</v>
      </c>
    </row>
    <row r="311" spans="1:39" x14ac:dyDescent="0.35">
      <c r="A311" s="6" t="e">
        <f>IF('Coach Card'!$T$5="",IF($B$1="Solo",IF(L310="","",L310),IF($B$1="MSolo",IF(O310="","",O310),IF($B$1="Duet",IF(R310="","",R310),IF($B$1="Mixed",IF(U310="","",U310),IF(X310="","",X310))))),IF($B$1="Solo",IF(L810="","",L810),IF($B$1="MSolo",IF(L810="","",L810),IF($B$1="Duet",IF(O810="","",O810),IF($B$1="Mixed",IF(R810="","",R810),IF(U810="","",U810))))))</f>
        <v>#N/A</v>
      </c>
      <c r="B311" s="3" t="e">
        <f>IF('Coach Card'!$T$5="",IF($B$1="Solo",IF(M310="","",M310),IF($B$1="MSolo",IF(P310="","",P310),IF($B$1="Duet",IF(S310="","",S310),IF($B$1="Mixed",IF(V310="","",V310),IF(Y310="","",Y310))))),IF($B$1="Solo",IF(M810="","",M810),IF($B$1="MSolo",IF(M810="","",M810),IF($B$1="Duet",IF(P810="","",P810),IF($B$1="Mixed",IF(S810="","",S810),IF(V810="","",V810))))))</f>
        <v>#N/A</v>
      </c>
      <c r="C311" s="3" t="e">
        <f>IF('Coach Card'!$T$5="",IF($B$1="Solo",IF(N310="","",N310),IF($B$1="MSolo",IF(Q310="","",Q310),IF($B$1="Duet",IF(T310="","",T310),IF($B$1="Mixed",IF(W310="","",W310),IF(Z310="","",Z310))))),IF($B$1="Solo",IF(N810="","",N810),IF($B$1="MSolo",IF(N810="","",N810),IF($B$1="Duet",IF(Q810="","",Q810),IF($B$1="Mixed",IF(T810="","",T810),IF(W810="","",W810))))))</f>
        <v>#N/A</v>
      </c>
      <c r="D311" s="3" t="e">
        <f>IF('Coach Card'!$T$5="",IF($D$1="Team",IF(AG310="","",AG310),""),IF($D$1="Team",IF(AD810="","",AD810),""))</f>
        <v>#N/A</v>
      </c>
      <c r="E311" s="3" t="e">
        <f>IF('Coach Card'!$T$5="",IF($D$1="Team",IF(AH310="","",AH310),""),IF($D$1="Team",IF(AE810="","",AE810),""))</f>
        <v>#N/A</v>
      </c>
      <c r="X311" s="1" t="s">
        <v>625</v>
      </c>
      <c r="Y311" t="s">
        <v>2001</v>
      </c>
      <c r="Z311" s="3">
        <v>0.15</v>
      </c>
      <c r="AK311" t="s">
        <v>1999</v>
      </c>
      <c r="AL311" t="s">
        <v>1838</v>
      </c>
      <c r="AM311">
        <v>0.5</v>
      </c>
    </row>
    <row r="312" spans="1:39" x14ac:dyDescent="0.35">
      <c r="A312" s="6" t="e">
        <f>IF('Coach Card'!$T$5="",IF($B$1="Solo",IF(L311="","",L311),IF($B$1="MSolo",IF(O311="","",O311),IF($B$1="Duet",IF(R311="","",R311),IF($B$1="Mixed",IF(U311="","",U311),IF(X311="","",X311))))),IF($B$1="Solo",IF(L811="","",L811),IF($B$1="MSolo",IF(L811="","",L811),IF($B$1="Duet",IF(O811="","",O811),IF($B$1="Mixed",IF(R811="","",R811),IF(U811="","",U811))))))</f>
        <v>#N/A</v>
      </c>
      <c r="B312" s="3" t="e">
        <f>IF('Coach Card'!$T$5="",IF($B$1="Solo",IF(M311="","",M311),IF($B$1="MSolo",IF(P311="","",P311),IF($B$1="Duet",IF(S311="","",S311),IF($B$1="Mixed",IF(V311="","",V311),IF(Y311="","",Y311))))),IF($B$1="Solo",IF(M811="","",M811),IF($B$1="MSolo",IF(M811="","",M811),IF($B$1="Duet",IF(P811="","",P811),IF($B$1="Mixed",IF(S811="","",S811),IF(V811="","",V811))))))</f>
        <v>#N/A</v>
      </c>
      <c r="C312" s="3" t="e">
        <f>IF('Coach Card'!$T$5="",IF($B$1="Solo",IF(N311="","",N311),IF($B$1="MSolo",IF(Q311="","",Q311),IF($B$1="Duet",IF(T311="","",T311),IF($B$1="Mixed",IF(W311="","",W311),IF(Z311="","",Z311))))),IF($B$1="Solo",IF(N811="","",N811),IF($B$1="MSolo",IF(N811="","",N811),IF($B$1="Duet",IF(Q811="","",Q811),IF($B$1="Mixed",IF(T811="","",T811),IF(W811="","",W811))))))</f>
        <v>#N/A</v>
      </c>
      <c r="D312" s="3" t="e">
        <f>IF('Coach Card'!$T$5="",IF($D$1="Team",IF(AG311="","",AG311),""),IF($D$1="Team",IF(AD811="","",AD811),""))</f>
        <v>#N/A</v>
      </c>
      <c r="E312" s="3" t="e">
        <f>IF('Coach Card'!$T$5="",IF($D$1="Team",IF(AH311="","",AH311),""),IF($D$1="Team",IF(AE811="","",AE811),""))</f>
        <v>#N/A</v>
      </c>
      <c r="X312" s="1" t="s">
        <v>625</v>
      </c>
      <c r="Y312" t="s">
        <v>2276</v>
      </c>
      <c r="Z312" s="3">
        <v>0.2</v>
      </c>
      <c r="AK312" t="s">
        <v>2274</v>
      </c>
      <c r="AL312" t="s">
        <v>1841</v>
      </c>
      <c r="AM312">
        <v>0.5</v>
      </c>
    </row>
    <row r="313" spans="1:39" x14ac:dyDescent="0.35">
      <c r="A313" s="6" t="e">
        <f>IF('Coach Card'!$T$5="",IF($B$1="Solo",IF(L312="","",L312),IF($B$1="MSolo",IF(O312="","",O312),IF($B$1="Duet",IF(R312="","",R312),IF($B$1="Mixed",IF(U312="","",U312),IF(X312="","",X312))))),IF($B$1="Solo",IF(L812="","",L812),IF($B$1="MSolo",IF(L812="","",L812),IF($B$1="Duet",IF(O812="","",O812),IF($B$1="Mixed",IF(R812="","",R812),IF(U812="","",U812))))))</f>
        <v>#N/A</v>
      </c>
      <c r="B313" s="3" t="e">
        <f>IF('Coach Card'!$T$5="",IF($B$1="Solo",IF(M312="","",M312),IF($B$1="MSolo",IF(P312="","",P312),IF($B$1="Duet",IF(S312="","",S312),IF($B$1="Mixed",IF(V312="","",V312),IF(Y312="","",Y312))))),IF($B$1="Solo",IF(M812="","",M812),IF($B$1="MSolo",IF(M812="","",M812),IF($B$1="Duet",IF(P812="","",P812),IF($B$1="Mixed",IF(S812="","",S812),IF(V812="","",V812))))))</f>
        <v>#N/A</v>
      </c>
      <c r="C313" s="3" t="e">
        <f>IF('Coach Card'!$T$5="",IF($B$1="Solo",IF(N312="","",N312),IF($B$1="MSolo",IF(Q312="","",Q312),IF($B$1="Duet",IF(T312="","",T312),IF($B$1="Mixed",IF(W312="","",W312),IF(Z312="","",Z312))))),IF($B$1="Solo",IF(N812="","",N812),IF($B$1="MSolo",IF(N812="","",N812),IF($B$1="Duet",IF(Q812="","",Q812),IF($B$1="Mixed",IF(T812="","",T812),IF(W812="","",W812))))))</f>
        <v>#N/A</v>
      </c>
      <c r="D313" s="3" t="e">
        <f>IF('Coach Card'!$T$5="",IF($D$1="Team",IF(AG312="","",AG312),""),IF($D$1="Team",IF(AD812="","",AD812),""))</f>
        <v>#N/A</v>
      </c>
      <c r="E313" s="3" t="e">
        <f>IF('Coach Card'!$T$5="",IF($D$1="Team",IF(AH312="","",AH312),""),IF($D$1="Team",IF(AE812="","",AE812),""))</f>
        <v>#N/A</v>
      </c>
      <c r="X313" s="1" t="s">
        <v>625</v>
      </c>
      <c r="Y313" t="s">
        <v>2002</v>
      </c>
      <c r="Z313" s="3">
        <v>0.2</v>
      </c>
      <c r="AK313" t="s">
        <v>2000</v>
      </c>
      <c r="AL313" t="s">
        <v>1839</v>
      </c>
      <c r="AM313">
        <v>0.5</v>
      </c>
    </row>
    <row r="314" spans="1:39" x14ac:dyDescent="0.35">
      <c r="A314" s="6" t="e">
        <f>IF('Coach Card'!$T$5="",IF($B$1="Solo",IF(L313="","",L313),IF($B$1="MSolo",IF(O313="","",O313),IF($B$1="Duet",IF(R313="","",R313),IF($B$1="Mixed",IF(U313="","",U313),IF(X313="","",X313))))),IF($B$1="Solo",IF(L813="","",L813),IF($B$1="MSolo",IF(L813="","",L813),IF($B$1="Duet",IF(O813="","",O813),IF($B$1="Mixed",IF(R813="","",R813),IF(U813="","",U813))))))</f>
        <v>#N/A</v>
      </c>
      <c r="B314" s="3" t="e">
        <f>IF('Coach Card'!$T$5="",IF($B$1="Solo",IF(M313="","",M313),IF($B$1="MSolo",IF(P313="","",P313),IF($B$1="Duet",IF(S313="","",S313),IF($B$1="Mixed",IF(V313="","",V313),IF(Y313="","",Y313))))),IF($B$1="Solo",IF(M813="","",M813),IF($B$1="MSolo",IF(M813="","",M813),IF($B$1="Duet",IF(P813="","",P813),IF($B$1="Mixed",IF(S813="","",S813),IF(V813="","",V813))))))</f>
        <v>#N/A</v>
      </c>
      <c r="C314" s="3" t="e">
        <f>IF('Coach Card'!$T$5="",IF($B$1="Solo",IF(N313="","",N313),IF($B$1="MSolo",IF(Q313="","",Q313),IF($B$1="Duet",IF(T313="","",T313),IF($B$1="Mixed",IF(W313="","",W313),IF(Z313="","",Z313))))),IF($B$1="Solo",IF(N813="","",N813),IF($B$1="MSolo",IF(N813="","",N813),IF($B$1="Duet",IF(Q813="","",Q813),IF($B$1="Mixed",IF(T813="","",T813),IF(W813="","",W813))))))</f>
        <v>#N/A</v>
      </c>
      <c r="D314" s="3" t="e">
        <f>IF('Coach Card'!$T$5="",IF($D$1="Team",IF(AG313="","",AG313),""),IF($D$1="Team",IF(AD813="","",AD813),""))</f>
        <v>#N/A</v>
      </c>
      <c r="E314" s="3" t="e">
        <f>IF('Coach Card'!$T$5="",IF($D$1="Team",IF(AH313="","",AH313),""),IF($D$1="Team",IF(AE813="","",AE813),""))</f>
        <v>#N/A</v>
      </c>
      <c r="X314" s="1" t="s">
        <v>625</v>
      </c>
      <c r="Y314" t="s">
        <v>2277</v>
      </c>
      <c r="Z314" s="3">
        <v>0.25</v>
      </c>
      <c r="AK314" t="s">
        <v>2275</v>
      </c>
      <c r="AL314" t="s">
        <v>1842</v>
      </c>
      <c r="AM314">
        <v>0.5</v>
      </c>
    </row>
    <row r="315" spans="1:39" x14ac:dyDescent="0.35">
      <c r="A315" s="6" t="e">
        <f>IF('Coach Card'!$T$5="",IF($B$1="Solo",IF(L314="","",L314),IF($B$1="MSolo",IF(O314="","",O314),IF($B$1="Duet",IF(R314="","",R314),IF($B$1="Mixed",IF(U314="","",U314),IF(X314="","",X314))))),IF($B$1="Solo",IF(L814="","",L814),IF($B$1="MSolo",IF(L814="","",L814),IF($B$1="Duet",IF(O814="","",O814),IF($B$1="Mixed",IF(R814="","",R814),IF(U814="","",U814))))))</f>
        <v>#N/A</v>
      </c>
      <c r="B315" s="3" t="e">
        <f>IF('Coach Card'!$T$5="",IF($B$1="Solo",IF(M314="","",M314),IF($B$1="MSolo",IF(P314="","",P314),IF($B$1="Duet",IF(S314="","",S314),IF($B$1="Mixed",IF(V314="","",V314),IF(Y314="","",Y314))))),IF($B$1="Solo",IF(M814="","",M814),IF($B$1="MSolo",IF(M814="","",M814),IF($B$1="Duet",IF(P814="","",P814),IF($B$1="Mixed",IF(S814="","",S814),IF(V814="","",V814))))))</f>
        <v>#N/A</v>
      </c>
      <c r="C315" s="3" t="e">
        <f>IF('Coach Card'!$T$5="",IF($B$1="Solo",IF(N314="","",N314),IF($B$1="MSolo",IF(Q314="","",Q314),IF($B$1="Duet",IF(T314="","",T314),IF($B$1="Mixed",IF(W314="","",W314),IF(Z314="","",Z314))))),IF($B$1="Solo",IF(N814="","",N814),IF($B$1="MSolo",IF(N814="","",N814),IF($B$1="Duet",IF(Q814="","",Q814),IF($B$1="Mixed",IF(T814="","",T814),IF(W814="","",W814))))))</f>
        <v>#N/A</v>
      </c>
      <c r="D315" s="3" t="e">
        <f>IF('Coach Card'!$T$5="",IF($D$1="Team",IF(AG314="","",AG314),""),IF($D$1="Team",IF(AD814="","",AD814),""))</f>
        <v>#N/A</v>
      </c>
      <c r="E315" s="3" t="e">
        <f>IF('Coach Card'!$T$5="",IF($D$1="Team",IF(AH314="","",AH314),""),IF($D$1="Team",IF(AE814="","",AE814),""))</f>
        <v>#N/A</v>
      </c>
      <c r="X315" s="1" t="s">
        <v>625</v>
      </c>
      <c r="Y315" t="s">
        <v>2003</v>
      </c>
      <c r="Z315" s="3">
        <v>0.25</v>
      </c>
      <c r="AK315" t="s">
        <v>2001</v>
      </c>
      <c r="AL315" t="s">
        <v>1840</v>
      </c>
      <c r="AM315">
        <v>0.5</v>
      </c>
    </row>
    <row r="316" spans="1:39" x14ac:dyDescent="0.35">
      <c r="A316" s="6" t="e">
        <f>IF('Coach Card'!$T$5="",IF($B$1="Solo",IF(L315="","",L315),IF($B$1="MSolo",IF(O315="","",O315),IF($B$1="Duet",IF(R315="","",R315),IF($B$1="Mixed",IF(U315="","",U315),IF(X315="","",X315))))),IF($B$1="Solo",IF(L815="","",L815),IF($B$1="MSolo",IF(L815="","",L815),IF($B$1="Duet",IF(O815="","",O815),IF($B$1="Mixed",IF(R815="","",R815),IF(U815="","",U815))))))</f>
        <v>#N/A</v>
      </c>
      <c r="B316" s="3" t="e">
        <f>IF('Coach Card'!$T$5="",IF($B$1="Solo",IF(M315="","",M315),IF($B$1="MSolo",IF(P315="","",P315),IF($B$1="Duet",IF(S315="","",S315),IF($B$1="Mixed",IF(V315="","",V315),IF(Y315="","",Y315))))),IF($B$1="Solo",IF(M815="","",M815),IF($B$1="MSolo",IF(M815="","",M815),IF($B$1="Duet",IF(P815="","",P815),IF($B$1="Mixed",IF(S815="","",S815),IF(V815="","",V815))))))</f>
        <v>#N/A</v>
      </c>
      <c r="C316" s="3" t="e">
        <f>IF('Coach Card'!$T$5="",IF($B$1="Solo",IF(N315="","",N315),IF($B$1="MSolo",IF(Q315="","",Q315),IF($B$1="Duet",IF(T315="","",T315),IF($B$1="Mixed",IF(W315="","",W315),IF(Z315="","",Z315))))),IF($B$1="Solo",IF(N815="","",N815),IF($B$1="MSolo",IF(N815="","",N815),IF($B$1="Duet",IF(Q815="","",Q815),IF($B$1="Mixed",IF(T815="","",T815),IF(W815="","",W815))))))</f>
        <v>#N/A</v>
      </c>
      <c r="D316" s="3" t="e">
        <f>IF('Coach Card'!$T$5="",IF($D$1="Team",IF(AG315="","",AG315),""),IF($D$1="Team",IF(AD815="","",AD815),""))</f>
        <v>#N/A</v>
      </c>
      <c r="E316" s="3" t="e">
        <f>IF('Coach Card'!$T$5="",IF($D$1="Team",IF(AH315="","",AH315),""),IF($D$1="Team",IF(AE815="","",AE815),""))</f>
        <v>#N/A</v>
      </c>
      <c r="X316" s="1" t="s">
        <v>625</v>
      </c>
      <c r="Y316" t="s">
        <v>2278</v>
      </c>
      <c r="Z316" s="3">
        <v>0.3</v>
      </c>
      <c r="AK316" t="s">
        <v>2276</v>
      </c>
      <c r="AL316" t="s">
        <v>1843</v>
      </c>
      <c r="AM316">
        <v>0.5</v>
      </c>
    </row>
    <row r="317" spans="1:39" x14ac:dyDescent="0.35">
      <c r="A317" s="6" t="e">
        <f>IF('Coach Card'!$T$5="",IF($B$1="Solo",IF(L316="","",L316),IF($B$1="MSolo",IF(O316="","",O316),IF($B$1="Duet",IF(R316="","",R316),IF($B$1="Mixed",IF(U316="","",U316),IF(X316="","",X316))))),IF($B$1="Solo",IF(L816="","",L816),IF($B$1="MSolo",IF(L816="","",L816),IF($B$1="Duet",IF(O816="","",O816),IF($B$1="Mixed",IF(R816="","",R816),IF(U816="","",U816))))))</f>
        <v>#N/A</v>
      </c>
      <c r="B317" s="3" t="e">
        <f>IF('Coach Card'!$T$5="",IF($B$1="Solo",IF(M316="","",M316),IF($B$1="MSolo",IF(P316="","",P316),IF($B$1="Duet",IF(S316="","",S316),IF($B$1="Mixed",IF(V316="","",V316),IF(Y316="","",Y316))))),IF($B$1="Solo",IF(M816="","",M816),IF($B$1="MSolo",IF(M816="","",M816),IF($B$1="Duet",IF(P816="","",P816),IF($B$1="Mixed",IF(S816="","",S816),IF(V816="","",V816))))))</f>
        <v>#N/A</v>
      </c>
      <c r="C317" s="3" t="e">
        <f>IF('Coach Card'!$T$5="",IF($B$1="Solo",IF(N316="","",N316),IF($B$1="MSolo",IF(Q316="","",Q316),IF($B$1="Duet",IF(T316="","",T316),IF($B$1="Mixed",IF(W316="","",W316),IF(Z316="","",Z316))))),IF($B$1="Solo",IF(N816="","",N816),IF($B$1="MSolo",IF(N816="","",N816),IF($B$1="Duet",IF(Q816="","",Q816),IF($B$1="Mixed",IF(T816="","",T816),IF(W816="","",W816))))))</f>
        <v>#N/A</v>
      </c>
      <c r="D317" s="3" t="e">
        <f>IF('Coach Card'!$T$5="",IF($D$1="Team",IF(AG316="","",AG316),""),IF($D$1="Team",IF(AD816="","",AD816),""))</f>
        <v>#N/A</v>
      </c>
      <c r="E317" s="3" t="e">
        <f>IF('Coach Card'!$T$5="",IF($D$1="Team",IF(AH316="","",AH316),""),IF($D$1="Team",IF(AE816="","",AE816),""))</f>
        <v>#N/A</v>
      </c>
      <c r="X317" s="1" t="s">
        <v>625</v>
      </c>
      <c r="Y317" t="s">
        <v>2004</v>
      </c>
      <c r="Z317" s="3">
        <v>0.5</v>
      </c>
      <c r="AK317" t="s">
        <v>2002</v>
      </c>
      <c r="AL317" t="s">
        <v>60</v>
      </c>
      <c r="AM317">
        <v>0.5</v>
      </c>
    </row>
    <row r="318" spans="1:39" x14ac:dyDescent="0.35">
      <c r="A318" s="6" t="e">
        <f>IF('Coach Card'!$T$5="",IF($B$1="Solo",IF(L317="","",L317),IF($B$1="MSolo",IF(O317="","",O317),IF($B$1="Duet",IF(R317="","",R317),IF($B$1="Mixed",IF(U317="","",U317),IF(X317="","",X317))))),IF($B$1="Solo",IF(L817="","",L817),IF($B$1="MSolo",IF(L817="","",L817),IF($B$1="Duet",IF(O817="","",O817),IF($B$1="Mixed",IF(R817="","",R817),IF(U817="","",U817))))))</f>
        <v>#N/A</v>
      </c>
      <c r="B318" s="3" t="e">
        <f>IF('Coach Card'!$T$5="",IF($B$1="Solo",IF(M317="","",M317),IF($B$1="MSolo",IF(P317="","",P317),IF($B$1="Duet",IF(S317="","",S317),IF($B$1="Mixed",IF(V317="","",V317),IF(Y317="","",Y317))))),IF($B$1="Solo",IF(M817="","",M817),IF($B$1="MSolo",IF(M817="","",M817),IF($B$1="Duet",IF(P817="","",P817),IF($B$1="Mixed",IF(S817="","",S817),IF(V817="","",V817))))))</f>
        <v>#N/A</v>
      </c>
      <c r="C318" s="3" t="e">
        <f>IF('Coach Card'!$T$5="",IF($B$1="Solo",IF(N317="","",N317),IF($B$1="MSolo",IF(Q317="","",Q317),IF($B$1="Duet",IF(T317="","",T317),IF($B$1="Mixed",IF(W317="","",W317),IF(Z317="","",Z317))))),IF($B$1="Solo",IF(N817="","",N817),IF($B$1="MSolo",IF(N817="","",N817),IF($B$1="Duet",IF(Q817="","",Q817),IF($B$1="Mixed",IF(T817="","",T817),IF(W817="","",W817))))))</f>
        <v>#N/A</v>
      </c>
      <c r="D318" s="3" t="e">
        <f>IF('Coach Card'!$T$5="",IF($D$1="Team",IF(AG317="","",AG317),""),IF($D$1="Team",IF(AD817="","",AD817),""))</f>
        <v>#N/A</v>
      </c>
      <c r="E318" s="3" t="e">
        <f>IF('Coach Card'!$T$5="",IF($D$1="Team",IF(AH317="","",AH317),""),IF($D$1="Team",IF(AE817="","",AE817),""))</f>
        <v>#N/A</v>
      </c>
      <c r="X318" s="1" t="s">
        <v>625</v>
      </c>
      <c r="Y318" t="s">
        <v>2279</v>
      </c>
      <c r="Z318" s="3">
        <v>0.55000000000000004</v>
      </c>
      <c r="AK318" t="s">
        <v>2277</v>
      </c>
      <c r="AL318" t="s">
        <v>626</v>
      </c>
      <c r="AM318">
        <v>0.5</v>
      </c>
    </row>
    <row r="319" spans="1:39" x14ac:dyDescent="0.35">
      <c r="A319" s="6" t="e">
        <f>IF('Coach Card'!$T$5="",IF($B$1="Solo",IF(L318="","",L318),IF($B$1="MSolo",IF(O318="","",O318),IF($B$1="Duet",IF(R318="","",R318),IF($B$1="Mixed",IF(U318="","",U318),IF(X318="","",X318))))),IF($B$1="Solo",IF(L818="","",L818),IF($B$1="MSolo",IF(L818="","",L818),IF($B$1="Duet",IF(O818="","",O818),IF($B$1="Mixed",IF(R818="","",R818),IF(U818="","",U818))))))</f>
        <v>#N/A</v>
      </c>
      <c r="B319" s="3" t="e">
        <f>IF('Coach Card'!$T$5="",IF($B$1="Solo",IF(M318="","",M318),IF($B$1="MSolo",IF(P318="","",P318),IF($B$1="Duet",IF(S318="","",S318),IF($B$1="Mixed",IF(V318="","",V318),IF(Y318="","",Y318))))),IF($B$1="Solo",IF(M818="","",M818),IF($B$1="MSolo",IF(M818="","",M818),IF($B$1="Duet",IF(P818="","",P818),IF($B$1="Mixed",IF(S818="","",S818),IF(V818="","",V818))))))</f>
        <v>#N/A</v>
      </c>
      <c r="C319" s="3" t="e">
        <f>IF('Coach Card'!$T$5="",IF($B$1="Solo",IF(N318="","",N318),IF($B$1="MSolo",IF(Q318="","",Q318),IF($B$1="Duet",IF(T318="","",T318),IF($B$1="Mixed",IF(W318="","",W318),IF(Z318="","",Z318))))),IF($B$1="Solo",IF(N818="","",N818),IF($B$1="MSolo",IF(N818="","",N818),IF($B$1="Duet",IF(Q818="","",Q818),IF($B$1="Mixed",IF(T818="","",T818),IF(W818="","",W818))))))</f>
        <v>#N/A</v>
      </c>
      <c r="D319" s="3" t="e">
        <f>IF('Coach Card'!$T$5="",IF($D$1="Team",IF(AG318="","",AG318),""),IF($D$1="Team",IF(AD818="","",AD818),""))</f>
        <v>#N/A</v>
      </c>
      <c r="E319" s="3" t="e">
        <f>IF('Coach Card'!$T$5="",IF($D$1="Team",IF(AH318="","",AH318),""),IF($D$1="Team",IF(AE818="","",AE818),""))</f>
        <v>#N/A</v>
      </c>
      <c r="X319" s="1" t="s">
        <v>625</v>
      </c>
      <c r="Y319" t="s">
        <v>2005</v>
      </c>
      <c r="Z319" s="3">
        <v>0.625</v>
      </c>
      <c r="AK319" t="s">
        <v>2003</v>
      </c>
      <c r="AL319" t="s">
        <v>61</v>
      </c>
      <c r="AM319">
        <v>0.5</v>
      </c>
    </row>
    <row r="320" spans="1:39" x14ac:dyDescent="0.35">
      <c r="A320" s="6" t="e">
        <f>IF('Coach Card'!$T$5="",IF($B$1="Solo",IF(L319="","",L319),IF($B$1="MSolo",IF(O319="","",O319),IF($B$1="Duet",IF(R319="","",R319),IF($B$1="Mixed",IF(U319="","",U319),IF(X319="","",X319))))),IF($B$1="Solo",IF(L819="","",L819),IF($B$1="MSolo",IF(L819="","",L819),IF($B$1="Duet",IF(O819="","",O819),IF($B$1="Mixed",IF(R819="","",R819),IF(U819="","",U819))))))</f>
        <v>#N/A</v>
      </c>
      <c r="B320" s="3" t="e">
        <f>IF('Coach Card'!$T$5="",IF($B$1="Solo",IF(M319="","",M319),IF($B$1="MSolo",IF(P319="","",P319),IF($B$1="Duet",IF(S319="","",S319),IF($B$1="Mixed",IF(V319="","",V319),IF(Y319="","",Y319))))),IF($B$1="Solo",IF(M819="","",M819),IF($B$1="MSolo",IF(M819="","",M819),IF($B$1="Duet",IF(P819="","",P819),IF($B$1="Mixed",IF(S819="","",S819),IF(V819="","",V819))))))</f>
        <v>#N/A</v>
      </c>
      <c r="C320" s="3" t="e">
        <f>IF('Coach Card'!$T$5="",IF($B$1="Solo",IF(N319="","",N319),IF($B$1="MSolo",IF(Q319="","",Q319),IF($B$1="Duet",IF(T319="","",T319),IF($B$1="Mixed",IF(W319="","",W319),IF(Z319="","",Z319))))),IF($B$1="Solo",IF(N819="","",N819),IF($B$1="MSolo",IF(N819="","",N819),IF($B$1="Duet",IF(Q819="","",Q819),IF($B$1="Mixed",IF(T819="","",T819),IF(W819="","",W819))))))</f>
        <v>#N/A</v>
      </c>
      <c r="D320" s="3" t="e">
        <f>IF('Coach Card'!$T$5="",IF($D$1="Team",IF(AG319="","",AG319),""),IF($D$1="Team",IF(AD819="","",AD819),""))</f>
        <v>#N/A</v>
      </c>
      <c r="E320" s="3" t="e">
        <f>IF('Coach Card'!$T$5="",IF($D$1="Team",IF(AH319="","",AH319),""),IF($D$1="Team",IF(AE819="","",AE819),""))</f>
        <v>#N/A</v>
      </c>
      <c r="X320" s="1" t="s">
        <v>625</v>
      </c>
      <c r="Y320" t="s">
        <v>2280</v>
      </c>
      <c r="Z320" s="3">
        <v>0.67500000000000004</v>
      </c>
      <c r="AK320" t="s">
        <v>2278</v>
      </c>
      <c r="AL320" t="s">
        <v>627</v>
      </c>
      <c r="AM320">
        <v>0.5</v>
      </c>
    </row>
    <row r="321" spans="1:39" x14ac:dyDescent="0.35">
      <c r="A321" s="6" t="e">
        <f>IF('Coach Card'!$T$5="",IF($B$1="Solo",IF(L320="","",L320),IF($B$1="MSolo",IF(O320="","",O320),IF($B$1="Duet",IF(R320="","",R320),IF($B$1="Mixed",IF(U320="","",U320),IF(X320="","",X320))))),IF($B$1="Solo",IF(L820="","",L820),IF($B$1="MSolo",IF(L820="","",L820),IF($B$1="Duet",IF(O820="","",O820),IF($B$1="Mixed",IF(R820="","",R820),IF(U820="","",U820))))))</f>
        <v>#N/A</v>
      </c>
      <c r="B321" s="3" t="e">
        <f>IF('Coach Card'!$T$5="",IF($B$1="Solo",IF(M320="","",M320),IF($B$1="MSolo",IF(P320="","",P320),IF($B$1="Duet",IF(S320="","",S320),IF($B$1="Mixed",IF(V320="","",V320),IF(Y320="","",Y320))))),IF($B$1="Solo",IF(M820="","",M820),IF($B$1="MSolo",IF(M820="","",M820),IF($B$1="Duet",IF(P820="","",P820),IF($B$1="Mixed",IF(S820="","",S820),IF(V820="","",V820))))))</f>
        <v>#N/A</v>
      </c>
      <c r="C321" s="3" t="e">
        <f>IF('Coach Card'!$T$5="",IF($B$1="Solo",IF(N320="","",N320),IF($B$1="MSolo",IF(Q320="","",Q320),IF($B$1="Duet",IF(T320="","",T320),IF($B$1="Mixed",IF(W320="","",W320),IF(Z320="","",Z320))))),IF($B$1="Solo",IF(N820="","",N820),IF($B$1="MSolo",IF(N820="","",N820),IF($B$1="Duet",IF(Q820="","",Q820),IF($B$1="Mixed",IF(T820="","",T820),IF(W820="","",W820))))))</f>
        <v>#N/A</v>
      </c>
      <c r="D321" s="3" t="e">
        <f>IF('Coach Card'!$T$5="",IF($D$1="Team",IF(AG320="","",AG320),""),IF($D$1="Team",IF(AD820="","",AD820),""))</f>
        <v>#N/A</v>
      </c>
      <c r="E321" s="3" t="e">
        <f>IF('Coach Card'!$T$5="",IF($D$1="Team",IF(AH320="","",AH320),""),IF($D$1="Team",IF(AE820="","",AE820),""))</f>
        <v>#N/A</v>
      </c>
      <c r="X321" s="1" t="s">
        <v>625</v>
      </c>
      <c r="Y321" t="s">
        <v>2006</v>
      </c>
      <c r="Z321" s="3">
        <v>0.625</v>
      </c>
      <c r="AK321" t="s">
        <v>2004</v>
      </c>
      <c r="AL321" t="s">
        <v>62</v>
      </c>
      <c r="AM321">
        <v>0.5</v>
      </c>
    </row>
    <row r="322" spans="1:39" x14ac:dyDescent="0.35">
      <c r="A322" s="6" t="e">
        <f>IF('Coach Card'!$T$5="",IF($B$1="Solo",IF(L321="","",L321),IF($B$1="MSolo",IF(O321="","",O321),IF($B$1="Duet",IF(R321="","",R321),IF($B$1="Mixed",IF(U321="","",U321),IF(X321="","",X321))))),IF($B$1="Solo",IF(L821="","",L821),IF($B$1="MSolo",IF(L821="","",L821),IF($B$1="Duet",IF(O821="","",O821),IF($B$1="Mixed",IF(R821="","",R821),IF(U821="","",U821))))))</f>
        <v>#N/A</v>
      </c>
      <c r="B322" s="3" t="e">
        <f>IF('Coach Card'!$T$5="",IF($B$1="Solo",IF(M321="","",M321),IF($B$1="MSolo",IF(P321="","",P321),IF($B$1="Duet",IF(S321="","",S321),IF($B$1="Mixed",IF(V321="","",V321),IF(Y321="","",Y321))))),IF($B$1="Solo",IF(M821="","",M821),IF($B$1="MSolo",IF(M821="","",M821),IF($B$1="Duet",IF(P821="","",P821),IF($B$1="Mixed",IF(S821="","",S821),IF(V821="","",V821))))))</f>
        <v>#N/A</v>
      </c>
      <c r="C322" s="3" t="e">
        <f>IF('Coach Card'!$T$5="",IF($B$1="Solo",IF(N321="","",N321),IF($B$1="MSolo",IF(Q321="","",Q321),IF($B$1="Duet",IF(T321="","",T321),IF($B$1="Mixed",IF(W321="","",W321),IF(Z321="","",Z321))))),IF($B$1="Solo",IF(N821="","",N821),IF($B$1="MSolo",IF(N821="","",N821),IF($B$1="Duet",IF(Q821="","",Q821),IF($B$1="Mixed",IF(T821="","",T821),IF(W821="","",W821))))))</f>
        <v>#N/A</v>
      </c>
      <c r="D322" s="3" t="e">
        <f>IF('Coach Card'!$T$5="",IF($D$1="Team",IF(AG321="","",AG321),""),IF($D$1="Team",IF(AD821="","",AD821),""))</f>
        <v>#N/A</v>
      </c>
      <c r="E322" s="3" t="e">
        <f>IF('Coach Card'!$T$5="",IF($D$1="Team",IF(AH321="","",AH321),""),IF($D$1="Team",IF(AE821="","",AE821),""))</f>
        <v>#N/A</v>
      </c>
      <c r="X322" s="1" t="s">
        <v>625</v>
      </c>
      <c r="Y322" t="s">
        <v>2281</v>
      </c>
      <c r="Z322" s="3">
        <v>0.67500000000000004</v>
      </c>
      <c r="AK322" t="s">
        <v>2279</v>
      </c>
      <c r="AL322" t="s">
        <v>628</v>
      </c>
      <c r="AM322">
        <v>0.5</v>
      </c>
    </row>
    <row r="323" spans="1:39" x14ac:dyDescent="0.35">
      <c r="A323" s="6" t="e">
        <f>IF('Coach Card'!$T$5="",IF($B$1="Solo",IF(L322="","",L322),IF($B$1="MSolo",IF(O322="","",O322),IF($B$1="Duet",IF(R322="","",R322),IF($B$1="Mixed",IF(U322="","",U322),IF(X322="","",X322))))),IF($B$1="Solo",IF(L822="","",L822),IF($B$1="MSolo",IF(L822="","",L822),IF($B$1="Duet",IF(O822="","",O822),IF($B$1="Mixed",IF(R822="","",R822),IF(U822="","",U822))))))</f>
        <v>#N/A</v>
      </c>
      <c r="B323" s="3" t="e">
        <f>IF('Coach Card'!$T$5="",IF($B$1="Solo",IF(M322="","",M322),IF($B$1="MSolo",IF(P322="","",P322),IF($B$1="Duet",IF(S322="","",S322),IF($B$1="Mixed",IF(V322="","",V322),IF(Y322="","",Y322))))),IF($B$1="Solo",IF(M822="","",M822),IF($B$1="MSolo",IF(M822="","",M822),IF($B$1="Duet",IF(P822="","",P822),IF($B$1="Mixed",IF(S822="","",S822),IF(V822="","",V822))))))</f>
        <v>#N/A</v>
      </c>
      <c r="C323" s="3" t="e">
        <f>IF('Coach Card'!$T$5="",IF($B$1="Solo",IF(N322="","",N322),IF($B$1="MSolo",IF(Q322="","",Q322),IF($B$1="Duet",IF(T322="","",T322),IF($B$1="Mixed",IF(W322="","",W322),IF(Z322="","",Z322))))),IF($B$1="Solo",IF(N822="","",N822),IF($B$1="MSolo",IF(N822="","",N822),IF($B$1="Duet",IF(Q822="","",Q822),IF($B$1="Mixed",IF(T822="","",T822),IF(W822="","",W822))))))</f>
        <v>#N/A</v>
      </c>
      <c r="D323" s="3" t="e">
        <f>IF('Coach Card'!$T$5="",IF($D$1="Team",IF(AG322="","",AG322),""),IF($D$1="Team",IF(AD822="","",AD822),""))</f>
        <v>#N/A</v>
      </c>
      <c r="E323" s="3" t="e">
        <f>IF('Coach Card'!$T$5="",IF($D$1="Team",IF(AH322="","",AH322),""),IF($D$1="Team",IF(AE822="","",AE822),""))</f>
        <v>#N/A</v>
      </c>
      <c r="X323" s="1" t="s">
        <v>625</v>
      </c>
      <c r="Y323" t="s">
        <v>2007</v>
      </c>
      <c r="Z323" s="3">
        <v>0.75</v>
      </c>
      <c r="AK323" t="s">
        <v>2005</v>
      </c>
      <c r="AL323" t="s">
        <v>1844</v>
      </c>
      <c r="AM323">
        <v>0.5</v>
      </c>
    </row>
    <row r="324" spans="1:39" x14ac:dyDescent="0.35">
      <c r="A324" s="6" t="e">
        <f>IF('Coach Card'!$T$5="",IF($B$1="Solo",IF(L323="","",L323),IF($B$1="MSolo",IF(O323="","",O323),IF($B$1="Duet",IF(R323="","",R323),IF($B$1="Mixed",IF(U323="","",U323),IF(X323="","",X323))))),IF($B$1="Solo",IF(L823="","",L823),IF($B$1="MSolo",IF(L823="","",L823),IF($B$1="Duet",IF(O823="","",O823),IF($B$1="Mixed",IF(R823="","",R823),IF(U823="","",U823))))))</f>
        <v>#N/A</v>
      </c>
      <c r="B324" s="3" t="e">
        <f>IF('Coach Card'!$T$5="",IF($B$1="Solo",IF(M323="","",M323),IF($B$1="MSolo",IF(P323="","",P323),IF($B$1="Duet",IF(S323="","",S323),IF($B$1="Mixed",IF(V323="","",V323),IF(Y323="","",Y323))))),IF($B$1="Solo",IF(M823="","",M823),IF($B$1="MSolo",IF(M823="","",M823),IF($B$1="Duet",IF(P823="","",P823),IF($B$1="Mixed",IF(S823="","",S823),IF(V823="","",V823))))))</f>
        <v>#N/A</v>
      </c>
      <c r="C324" s="3" t="e">
        <f>IF('Coach Card'!$T$5="",IF($B$1="Solo",IF(N323="","",N323),IF($B$1="MSolo",IF(Q323="","",Q323),IF($B$1="Duet",IF(T323="","",T323),IF($B$1="Mixed",IF(W323="","",W323),IF(Z323="","",Z323))))),IF($B$1="Solo",IF(N823="","",N823),IF($B$1="MSolo",IF(N823="","",N823),IF($B$1="Duet",IF(Q823="","",Q823),IF($B$1="Mixed",IF(T823="","",T823),IF(W823="","",W823))))))</f>
        <v>#N/A</v>
      </c>
      <c r="D324" s="3" t="e">
        <f>IF('Coach Card'!$T$5="",IF($D$1="Team",IF(AG323="","",AG323),""),IF($D$1="Team",IF(AD823="","",AD823),""))</f>
        <v>#N/A</v>
      </c>
      <c r="E324" s="3" t="e">
        <f>IF('Coach Card'!$T$5="",IF($D$1="Team",IF(AH323="","",AH323),""),IF($D$1="Team",IF(AE823="","",AE823),""))</f>
        <v>#N/A</v>
      </c>
      <c r="X324" s="1" t="s">
        <v>625</v>
      </c>
      <c r="Y324" t="s">
        <v>2282</v>
      </c>
      <c r="Z324" s="3">
        <v>0.8</v>
      </c>
      <c r="AK324" t="s">
        <v>2280</v>
      </c>
      <c r="AL324" t="s">
        <v>1846</v>
      </c>
      <c r="AM324">
        <v>0.5</v>
      </c>
    </row>
    <row r="325" spans="1:39" x14ac:dyDescent="0.35">
      <c r="A325" s="6" t="e">
        <f>IF('Coach Card'!$T$5="",IF($B$1="Solo",IF(L324="","",L324),IF($B$1="MSolo",IF(O324="","",O324),IF($B$1="Duet",IF(R324="","",R324),IF($B$1="Mixed",IF(U324="","",U324),IF(X324="","",X324))))),IF($B$1="Solo",IF(L824="","",L824),IF($B$1="MSolo",IF(L824="","",L824),IF($B$1="Duet",IF(O824="","",O824),IF($B$1="Mixed",IF(R824="","",R824),IF(U824="","",U824))))))</f>
        <v>#N/A</v>
      </c>
      <c r="B325" s="3" t="e">
        <f>IF('Coach Card'!$T$5="",IF($B$1="Solo",IF(M324="","",M324),IF($B$1="MSolo",IF(P324="","",P324),IF($B$1="Duet",IF(S324="","",S324),IF($B$1="Mixed",IF(V324="","",V324),IF(Y324="","",Y324))))),IF($B$1="Solo",IF(M824="","",M824),IF($B$1="MSolo",IF(M824="","",M824),IF($B$1="Duet",IF(P824="","",P824),IF($B$1="Mixed",IF(S824="","",S824),IF(V824="","",V824))))))</f>
        <v>#N/A</v>
      </c>
      <c r="C325" s="3" t="e">
        <f>IF('Coach Card'!$T$5="",IF($B$1="Solo",IF(N324="","",N324),IF($B$1="MSolo",IF(Q324="","",Q324),IF($B$1="Duet",IF(T324="","",T324),IF($B$1="Mixed",IF(W324="","",W324),IF(Z324="","",Z324))))),IF($B$1="Solo",IF(N824="","",N824),IF($B$1="MSolo",IF(N824="","",N824),IF($B$1="Duet",IF(Q824="","",Q824),IF($B$1="Mixed",IF(T824="","",T824),IF(W824="","",W824))))))</f>
        <v>#N/A</v>
      </c>
      <c r="D325" s="3" t="e">
        <f>IF('Coach Card'!$T$5="",IF($D$1="Team",IF(AG324="","",AG324),""),IF($D$1="Team",IF(AD824="","",AD824),""))</f>
        <v>#N/A</v>
      </c>
      <c r="E325" s="3" t="e">
        <f>IF('Coach Card'!$T$5="",IF($D$1="Team",IF(AH324="","",AH324),""),IF($D$1="Team",IF(AE824="","",AE824),""))</f>
        <v>#N/A</v>
      </c>
      <c r="X325" s="1" t="s">
        <v>1765</v>
      </c>
      <c r="Y325" t="s">
        <v>2017</v>
      </c>
      <c r="Z325" s="3">
        <v>0.09</v>
      </c>
      <c r="AK325" t="s">
        <v>2006</v>
      </c>
      <c r="AL325" t="s">
        <v>1845</v>
      </c>
      <c r="AM325">
        <v>0.5</v>
      </c>
    </row>
    <row r="326" spans="1:39" x14ac:dyDescent="0.35">
      <c r="A326" s="6" t="e">
        <f>IF('Coach Card'!$T$5="",IF($B$1="Solo",IF(L325="","",L325),IF($B$1="MSolo",IF(O325="","",O325),IF($B$1="Duet",IF(R325="","",R325),IF($B$1="Mixed",IF(U325="","",U325),IF(X325="","",X325))))),IF($B$1="Solo",IF(L825="","",L825),IF($B$1="MSolo",IF(L825="","",L825),IF($B$1="Duet",IF(O825="","",O825),IF($B$1="Mixed",IF(R825="","",R825),IF(U825="","",U825))))))</f>
        <v>#N/A</v>
      </c>
      <c r="B326" s="3" t="e">
        <f>IF('Coach Card'!$T$5="",IF($B$1="Solo",IF(M325="","",M325),IF($B$1="MSolo",IF(P325="","",P325),IF($B$1="Duet",IF(S325="","",S325),IF($B$1="Mixed",IF(V325="","",V325),IF(Y325="","",Y325))))),IF($B$1="Solo",IF(M825="","",M825),IF($B$1="MSolo",IF(M825="","",M825),IF($B$1="Duet",IF(P825="","",P825),IF($B$1="Mixed",IF(S825="","",S825),IF(V825="","",V825))))))</f>
        <v>#N/A</v>
      </c>
      <c r="C326" s="3" t="e">
        <f>IF('Coach Card'!$T$5="",IF($B$1="Solo",IF(N325="","",N325),IF($B$1="MSolo",IF(Q325="","",Q325),IF($B$1="Duet",IF(T325="","",T325),IF($B$1="Mixed",IF(W325="","",W325),IF(Z325="","",Z325))))),IF($B$1="Solo",IF(N825="","",N825),IF($B$1="MSolo",IF(N825="","",N825),IF($B$1="Duet",IF(Q825="","",Q825),IF($B$1="Mixed",IF(T825="","",T825),IF(W825="","",W825))))))</f>
        <v>#N/A</v>
      </c>
      <c r="D326" s="3" t="e">
        <f>IF('Coach Card'!$T$5="",IF($D$1="Team",IF(AG325="","",AG325),""),IF($D$1="Team",IF(AD825="","",AD825),""))</f>
        <v>#N/A</v>
      </c>
      <c r="E326" s="3" t="e">
        <f>IF('Coach Card'!$T$5="",IF($D$1="Team",IF(AH325="","",AH325),""),IF($D$1="Team",IF(AE825="","",AE825),""))</f>
        <v>#N/A</v>
      </c>
      <c r="X326" s="1" t="s">
        <v>1765</v>
      </c>
      <c r="Y326" t="s">
        <v>2018</v>
      </c>
      <c r="Z326" s="3">
        <v>0.13500000000000001</v>
      </c>
      <c r="AK326" t="s">
        <v>2281</v>
      </c>
      <c r="AL326" t="s">
        <v>1847</v>
      </c>
      <c r="AM326">
        <v>0.5</v>
      </c>
    </row>
    <row r="327" spans="1:39" x14ac:dyDescent="0.35">
      <c r="A327" s="6" t="e">
        <f>IF('Coach Card'!$T$5="",IF($B$1="Solo",IF(L326="","",L326),IF($B$1="MSolo",IF(O326="","",O326),IF($B$1="Duet",IF(R326="","",R326),IF($B$1="Mixed",IF(U326="","",U326),IF(X326="","",X326))))),IF($B$1="Solo",IF(L826="","",L826),IF($B$1="MSolo",IF(L826="","",L826),IF($B$1="Duet",IF(O826="","",O826),IF($B$1="Mixed",IF(R826="","",R826),IF(U826="","",U826))))))</f>
        <v>#N/A</v>
      </c>
      <c r="B327" s="3" t="e">
        <f>IF('Coach Card'!$T$5="",IF($B$1="Solo",IF(M326="","",M326),IF($B$1="MSolo",IF(P326="","",P326),IF($B$1="Duet",IF(S326="","",S326),IF($B$1="Mixed",IF(V326="","",V326),IF(Y326="","",Y326))))),IF($B$1="Solo",IF(M826="","",M826),IF($B$1="MSolo",IF(M826="","",M826),IF($B$1="Duet",IF(P826="","",P826),IF($B$1="Mixed",IF(S826="","",S826),IF(V826="","",V826))))))</f>
        <v>#N/A</v>
      </c>
      <c r="C327" s="3" t="e">
        <f>IF('Coach Card'!$T$5="",IF($B$1="Solo",IF(N326="","",N326),IF($B$1="MSolo",IF(Q326="","",Q326),IF($B$1="Duet",IF(T326="","",T326),IF($B$1="Mixed",IF(W326="","",W326),IF(Z326="","",Z326))))),IF($B$1="Solo",IF(N826="","",N826),IF($B$1="MSolo",IF(N826="","",N826),IF($B$1="Duet",IF(Q826="","",Q826),IF($B$1="Mixed",IF(T826="","",T826),IF(W826="","",W826))))))</f>
        <v>#N/A</v>
      </c>
      <c r="D327" s="3" t="e">
        <f>IF('Coach Card'!$T$5="",IF($D$1="Team",IF(AG326="","",AG326),""),IF($D$1="Team",IF(AD826="","",AD826),""))</f>
        <v>#N/A</v>
      </c>
      <c r="E327" s="3" t="e">
        <f>IF('Coach Card'!$T$5="",IF($D$1="Team",IF(AH326="","",AH326),""),IF($D$1="Team",IF(AE826="","",AE826),""))</f>
        <v>#N/A</v>
      </c>
      <c r="X327" s="1" t="s">
        <v>1765</v>
      </c>
      <c r="Y327" t="s">
        <v>2019</v>
      </c>
      <c r="Z327" s="3">
        <v>0.15</v>
      </c>
      <c r="AK327" t="s">
        <v>2007</v>
      </c>
      <c r="AL327" t="s">
        <v>1704</v>
      </c>
      <c r="AM327">
        <v>0.5</v>
      </c>
    </row>
    <row r="328" spans="1:39" x14ac:dyDescent="0.35">
      <c r="A328" s="6" t="e">
        <f>IF('Coach Card'!$T$5="",IF($B$1="Solo",IF(L327="","",L327),IF($B$1="MSolo",IF(O327="","",O327),IF($B$1="Duet",IF(R327="","",R327),IF($B$1="Mixed",IF(U327="","",U327),IF(X327="","",X327))))),IF($B$1="Solo",IF(L827="","",L827),IF($B$1="MSolo",IF(L827="","",L827),IF($B$1="Duet",IF(O827="","",O827),IF($B$1="Mixed",IF(R827="","",R827),IF(U827="","",U827))))))</f>
        <v>#N/A</v>
      </c>
      <c r="B328" s="3" t="e">
        <f>IF('Coach Card'!$T$5="",IF($B$1="Solo",IF(M327="","",M327),IF($B$1="MSolo",IF(P327="","",P327),IF($B$1="Duet",IF(S327="","",S327),IF($B$1="Mixed",IF(V327="","",V327),IF(Y327="","",Y327))))),IF($B$1="Solo",IF(M827="","",M827),IF($B$1="MSolo",IF(M827="","",M827),IF($B$1="Duet",IF(P827="","",P827),IF($B$1="Mixed",IF(S827="","",S827),IF(V827="","",V827))))))</f>
        <v>#N/A</v>
      </c>
      <c r="C328" s="3" t="e">
        <f>IF('Coach Card'!$T$5="",IF($B$1="Solo",IF(N327="","",N327),IF($B$1="MSolo",IF(Q327="","",Q327),IF($B$1="Duet",IF(T327="","",T327),IF($B$1="Mixed",IF(W327="","",W327),IF(Z327="","",Z327))))),IF($B$1="Solo",IF(N827="","",N827),IF($B$1="MSolo",IF(N827="","",N827),IF($B$1="Duet",IF(Q827="","",Q827),IF($B$1="Mixed",IF(T827="","",T827),IF(W827="","",W827))))))</f>
        <v>#N/A</v>
      </c>
      <c r="D328" s="3" t="e">
        <f>IF('Coach Card'!$T$5="",IF($D$1="Team",IF(AG327="","",AG327),""),IF($D$1="Team",IF(AD827="","",AD827),""))</f>
        <v>#N/A</v>
      </c>
      <c r="E328" s="3" t="e">
        <f>IF('Coach Card'!$T$5="",IF($D$1="Team",IF(AH327="","",AH327),""),IF($D$1="Team",IF(AE827="","",AE827),""))</f>
        <v>#N/A</v>
      </c>
      <c r="X328" s="1" t="s">
        <v>1765</v>
      </c>
      <c r="Y328" t="s">
        <v>2020</v>
      </c>
      <c r="Z328" s="3">
        <v>0.15</v>
      </c>
      <c r="AK328" t="s">
        <v>2282</v>
      </c>
      <c r="AL328" t="s">
        <v>1705</v>
      </c>
      <c r="AM328">
        <v>0.5</v>
      </c>
    </row>
    <row r="329" spans="1:39" x14ac:dyDescent="0.35">
      <c r="A329" s="6" t="e">
        <f>IF('Coach Card'!$T$5="",IF($B$1="Solo",IF(L328="","",L328),IF($B$1="MSolo",IF(O328="","",O328),IF($B$1="Duet",IF(R328="","",R328),IF($B$1="Mixed",IF(U328="","",U328),IF(X328="","",X328))))),IF($B$1="Solo",IF(L828="","",L828),IF($B$1="MSolo",IF(L828="","",L828),IF($B$1="Duet",IF(O828="","",O828),IF($B$1="Mixed",IF(R828="","",R828),IF(U828="","",U828))))))</f>
        <v>#N/A</v>
      </c>
      <c r="B329" s="3" t="e">
        <f>IF('Coach Card'!$T$5="",IF($B$1="Solo",IF(M328="","",M328),IF($B$1="MSolo",IF(P328="","",P328),IF($B$1="Duet",IF(S328="","",S328),IF($B$1="Mixed",IF(V328="","",V328),IF(Y328="","",Y328))))),IF($B$1="Solo",IF(M828="","",M828),IF($B$1="MSolo",IF(M828="","",M828),IF($B$1="Duet",IF(P828="","",P828),IF($B$1="Mixed",IF(S828="","",S828),IF(V828="","",V828))))))</f>
        <v>#N/A</v>
      </c>
      <c r="C329" s="3" t="e">
        <f>IF('Coach Card'!$T$5="",IF($B$1="Solo",IF(N328="","",N328),IF($B$1="MSolo",IF(Q328="","",Q328),IF($B$1="Duet",IF(T328="","",T328),IF($B$1="Mixed",IF(W328="","",W328),IF(Z328="","",Z328))))),IF($B$1="Solo",IF(N828="","",N828),IF($B$1="MSolo",IF(N828="","",N828),IF($B$1="Duet",IF(Q828="","",Q828),IF($B$1="Mixed",IF(T828="","",T828),IF(W828="","",W828))))))</f>
        <v>#N/A</v>
      </c>
      <c r="D329" s="3" t="e">
        <f>IF('Coach Card'!$T$5="",IF($D$1="Team",IF(AG328="","",AG328),""),IF($D$1="Team",IF(AD828="","",AD828),""))</f>
        <v>#N/A</v>
      </c>
      <c r="E329" s="3" t="e">
        <f>IF('Coach Card'!$T$5="",IF($D$1="Team",IF(AH328="","",AH328),""),IF($D$1="Team",IF(AE828="","",AE828),""))</f>
        <v>#N/A</v>
      </c>
      <c r="X329" s="1" t="s">
        <v>1765</v>
      </c>
      <c r="Y329" t="s">
        <v>2021</v>
      </c>
      <c r="Z329" s="3">
        <v>0.19500000000000001</v>
      </c>
      <c r="AK329" t="s">
        <v>2017</v>
      </c>
      <c r="AL329" t="s">
        <v>1632</v>
      </c>
      <c r="AM329">
        <v>0.5</v>
      </c>
    </row>
    <row r="330" spans="1:39" x14ac:dyDescent="0.35">
      <c r="A330" s="6" t="e">
        <f>IF('Coach Card'!$T$5="",IF($B$1="Solo",IF(L329="","",L329),IF($B$1="MSolo",IF(O329="","",O329),IF($B$1="Duet",IF(R329="","",R329),IF($B$1="Mixed",IF(U329="","",U329),IF(X329="","",X329))))),IF($B$1="Solo",IF(L829="","",L829),IF($B$1="MSolo",IF(L829="","",L829),IF($B$1="Duet",IF(O829="","",O829),IF($B$1="Mixed",IF(R829="","",R829),IF(U829="","",U829))))))</f>
        <v>#N/A</v>
      </c>
      <c r="B330" s="3" t="e">
        <f>IF('Coach Card'!$T$5="",IF($B$1="Solo",IF(M329="","",M329),IF($B$1="MSolo",IF(P329="","",P329),IF($B$1="Duet",IF(S329="","",S329),IF($B$1="Mixed",IF(V329="","",V329),IF(Y329="","",Y329))))),IF($B$1="Solo",IF(M829="","",M829),IF($B$1="MSolo",IF(M829="","",M829),IF($B$1="Duet",IF(P829="","",P829),IF($B$1="Mixed",IF(S829="","",S829),IF(V829="","",V829))))))</f>
        <v>#N/A</v>
      </c>
      <c r="C330" s="3" t="e">
        <f>IF('Coach Card'!$T$5="",IF($B$1="Solo",IF(N329="","",N329),IF($B$1="MSolo",IF(Q329="","",Q329),IF($B$1="Duet",IF(T329="","",T329),IF($B$1="Mixed",IF(W329="","",W329),IF(Z329="","",Z329))))),IF($B$1="Solo",IF(N829="","",N829),IF($B$1="MSolo",IF(N829="","",N829),IF($B$1="Duet",IF(Q829="","",Q829),IF($B$1="Mixed",IF(T829="","",T829),IF(W829="","",W829))))))</f>
        <v>#N/A</v>
      </c>
      <c r="D330" s="3" t="e">
        <f>IF('Coach Card'!$T$5="",IF($D$1="Team",IF(AG329="","",AG329),""),IF($D$1="Team",IF(AD829="","",AD829),""))</f>
        <v>#N/A</v>
      </c>
      <c r="E330" s="3" t="e">
        <f>IF('Coach Card'!$T$5="",IF($D$1="Team",IF(AH329="","",AH329),""),IF($D$1="Team",IF(AE829="","",AE829),""))</f>
        <v>#N/A</v>
      </c>
      <c r="X330" s="1" t="s">
        <v>1765</v>
      </c>
      <c r="Y330" t="s">
        <v>2022</v>
      </c>
      <c r="Z330" s="3">
        <v>0.19500000000000001</v>
      </c>
      <c r="AK330" t="s">
        <v>2018</v>
      </c>
      <c r="AL330" t="s">
        <v>52</v>
      </c>
      <c r="AM330">
        <v>0.5</v>
      </c>
    </row>
    <row r="331" spans="1:39" x14ac:dyDescent="0.35">
      <c r="A331" s="6" t="e">
        <f>IF('Coach Card'!$T$5="",IF($B$1="Solo",IF(L330="","",L330),IF($B$1="MSolo",IF(O330="","",O330),IF($B$1="Duet",IF(R330="","",R330),IF($B$1="Mixed",IF(U330="","",U330),IF(X330="","",X330))))),IF($B$1="Solo",IF(L830="","",L830),IF($B$1="MSolo",IF(L830="","",L830),IF($B$1="Duet",IF(O830="","",O830),IF($B$1="Mixed",IF(R830="","",R830),IF(U830="","",U830))))))</f>
        <v>#N/A</v>
      </c>
      <c r="B331" s="3" t="e">
        <f>IF('Coach Card'!$T$5="",IF($B$1="Solo",IF(M330="","",M330),IF($B$1="MSolo",IF(P330="","",P330),IF($B$1="Duet",IF(S330="","",S330),IF($B$1="Mixed",IF(V330="","",V330),IF(Y330="","",Y330))))),IF($B$1="Solo",IF(M830="","",M830),IF($B$1="MSolo",IF(M830="","",M830),IF($B$1="Duet",IF(P830="","",P830),IF($B$1="Mixed",IF(S830="","",S830),IF(V830="","",V830))))))</f>
        <v>#N/A</v>
      </c>
      <c r="C331" s="3" t="e">
        <f>IF('Coach Card'!$T$5="",IF($B$1="Solo",IF(N330="","",N330),IF($B$1="MSolo",IF(Q330="","",Q330),IF($B$1="Duet",IF(T330="","",T330),IF($B$1="Mixed",IF(W330="","",W330),IF(Z330="","",Z330))))),IF($B$1="Solo",IF(N830="","",N830),IF($B$1="MSolo",IF(N830="","",N830),IF($B$1="Duet",IF(Q830="","",Q830),IF($B$1="Mixed",IF(T830="","",T830),IF(W830="","",W830))))))</f>
        <v>#N/A</v>
      </c>
      <c r="D331" s="3" t="e">
        <f>IF('Coach Card'!$T$5="",IF($D$1="Team",IF(AG330="","",AG330),""),IF($D$1="Team",IF(AD830="","",AD830),""))</f>
        <v>#N/A</v>
      </c>
      <c r="E331" s="3" t="e">
        <f>IF('Coach Card'!$T$5="",IF($D$1="Team",IF(AH330="","",AH330),""),IF($D$1="Team",IF(AE830="","",AE830),""))</f>
        <v>#N/A</v>
      </c>
      <c r="X331" s="1" t="s">
        <v>1765</v>
      </c>
      <c r="Y331" t="s">
        <v>2023</v>
      </c>
      <c r="Z331" s="3">
        <v>0.19500000000000001</v>
      </c>
      <c r="AK331" t="s">
        <v>2019</v>
      </c>
      <c r="AL331" t="s">
        <v>1778</v>
      </c>
      <c r="AM331">
        <v>0.5</v>
      </c>
    </row>
    <row r="332" spans="1:39" x14ac:dyDescent="0.35">
      <c r="A332" s="6" t="e">
        <f>IF('Coach Card'!$T$5="",IF($B$1="Solo",IF(L331="","",L331),IF($B$1="MSolo",IF(O331="","",O331),IF($B$1="Duet",IF(R331="","",R331),IF($B$1="Mixed",IF(U331="","",U331),IF(X331="","",X331))))),IF($B$1="Solo",IF(L831="","",L831),IF($B$1="MSolo",IF(L831="","",L831),IF($B$1="Duet",IF(O831="","",O831),IF($B$1="Mixed",IF(R831="","",R831),IF(U831="","",U831))))))</f>
        <v>#N/A</v>
      </c>
      <c r="B332" s="3" t="e">
        <f>IF('Coach Card'!$T$5="",IF($B$1="Solo",IF(M331="","",M331),IF($B$1="MSolo",IF(P331="","",P331),IF($B$1="Duet",IF(S331="","",S331),IF($B$1="Mixed",IF(V331="","",V331),IF(Y331="","",Y331))))),IF($B$1="Solo",IF(M831="","",M831),IF($B$1="MSolo",IF(M831="","",M831),IF($B$1="Duet",IF(P831="","",P831),IF($B$1="Mixed",IF(S831="","",S831),IF(V831="","",V831))))))</f>
        <v>#N/A</v>
      </c>
      <c r="C332" s="3" t="e">
        <f>IF('Coach Card'!$T$5="",IF($B$1="Solo",IF(N331="","",N331),IF($B$1="MSolo",IF(Q331="","",Q331),IF($B$1="Duet",IF(T331="","",T331),IF($B$1="Mixed",IF(W331="","",W331),IF(Z331="","",Z331))))),IF($B$1="Solo",IF(N831="","",N831),IF($B$1="MSolo",IF(N831="","",N831),IF($B$1="Duet",IF(Q831="","",Q831),IF($B$1="Mixed",IF(T831="","",T831),IF(W831="","",W831))))))</f>
        <v>#N/A</v>
      </c>
      <c r="D332" s="3" t="e">
        <f>IF('Coach Card'!$T$5="",IF($D$1="Team",IF(AG331="","",AG331),""),IF($D$1="Team",IF(AD831="","",AD831),""))</f>
        <v>#N/A</v>
      </c>
      <c r="E332" s="3" t="e">
        <f>IF('Coach Card'!$T$5="",IF($D$1="Team",IF(AH331="","",AH331),""),IF($D$1="Team",IF(AE831="","",AE831),""))</f>
        <v>#N/A</v>
      </c>
      <c r="X332" s="1" t="s">
        <v>1765</v>
      </c>
      <c r="Y332" t="s">
        <v>2024</v>
      </c>
      <c r="Z332" s="3">
        <v>0.19500000000000001</v>
      </c>
      <c r="AK332" t="s">
        <v>2020</v>
      </c>
      <c r="AL332" t="s">
        <v>1779</v>
      </c>
      <c r="AM332">
        <v>0.5</v>
      </c>
    </row>
    <row r="333" spans="1:39" x14ac:dyDescent="0.35">
      <c r="A333" s="6" t="e">
        <f>IF('Coach Card'!$T$5="",IF($B$1="Solo",IF(L332="","",L332),IF($B$1="MSolo",IF(O332="","",O332),IF($B$1="Duet",IF(R332="","",R332),IF($B$1="Mixed",IF(U332="","",U332),IF(X332="","",X332))))),IF($B$1="Solo",IF(L832="","",L832),IF($B$1="MSolo",IF(L832="","",L832),IF($B$1="Duet",IF(O832="","",O832),IF($B$1="Mixed",IF(R832="","",R832),IF(U832="","",U832))))))</f>
        <v>#N/A</v>
      </c>
      <c r="B333" s="3" t="e">
        <f>IF('Coach Card'!$T$5="",IF($B$1="Solo",IF(M332="","",M332),IF($B$1="MSolo",IF(P332="","",P332),IF($B$1="Duet",IF(S332="","",S332),IF($B$1="Mixed",IF(V332="","",V332),IF(Y332="","",Y332))))),IF($B$1="Solo",IF(M832="","",M832),IF($B$1="MSolo",IF(M832="","",M832),IF($B$1="Duet",IF(P832="","",P832),IF($B$1="Mixed",IF(S832="","",S832),IF(V832="","",V832))))))</f>
        <v>#N/A</v>
      </c>
      <c r="C333" s="3" t="e">
        <f>IF('Coach Card'!$T$5="",IF($B$1="Solo",IF(N332="","",N332),IF($B$1="MSolo",IF(Q332="","",Q332),IF($B$1="Duet",IF(T332="","",T332),IF($B$1="Mixed",IF(W332="","",W332),IF(Z332="","",Z332))))),IF($B$1="Solo",IF(N832="","",N832),IF($B$1="MSolo",IF(N832="","",N832),IF($B$1="Duet",IF(Q832="","",Q832),IF($B$1="Mixed",IF(T832="","",T832),IF(W832="","",W832))))))</f>
        <v>#N/A</v>
      </c>
      <c r="D333" s="3" t="e">
        <f>IF('Coach Card'!$T$5="",IF($D$1="Team",IF(AG332="","",AG332),""),IF($D$1="Team",IF(AD832="","",AD832),""))</f>
        <v>#N/A</v>
      </c>
      <c r="E333" s="3" t="e">
        <f>IF('Coach Card'!$T$5="",IF($D$1="Team",IF(AH332="","",AH332),""),IF($D$1="Team",IF(AE832="","",AE832),""))</f>
        <v>#N/A</v>
      </c>
      <c r="X333" s="1" t="s">
        <v>1765</v>
      </c>
      <c r="Y333" t="s">
        <v>2025</v>
      </c>
      <c r="Z333" s="3">
        <v>0.255</v>
      </c>
      <c r="AK333" t="s">
        <v>2021</v>
      </c>
      <c r="AL333" t="s">
        <v>1780</v>
      </c>
      <c r="AM333">
        <v>0.5</v>
      </c>
    </row>
    <row r="334" spans="1:39" x14ac:dyDescent="0.35">
      <c r="A334" s="6" t="e">
        <f>IF('Coach Card'!$T$5="",IF($B$1="Solo",IF(L333="","",L333),IF($B$1="MSolo",IF(O333="","",O333),IF($B$1="Duet",IF(R333="","",R333),IF($B$1="Mixed",IF(U333="","",U333),IF(X333="","",X333))))),IF($B$1="Solo",IF(L833="","",L833),IF($B$1="MSolo",IF(L833="","",L833),IF($B$1="Duet",IF(O833="","",O833),IF($B$1="Mixed",IF(R833="","",R833),IF(U833="","",U833))))))</f>
        <v>#N/A</v>
      </c>
      <c r="B334" s="3" t="e">
        <f>IF('Coach Card'!$T$5="",IF($B$1="Solo",IF(M333="","",M333),IF($B$1="MSolo",IF(P333="","",P333),IF($B$1="Duet",IF(S333="","",S333),IF($B$1="Mixed",IF(V333="","",V333),IF(Y333="","",Y333))))),IF($B$1="Solo",IF(M833="","",M833),IF($B$1="MSolo",IF(M833="","",M833),IF($B$1="Duet",IF(P833="","",P833),IF($B$1="Mixed",IF(S833="","",S833),IF(V833="","",V833))))))</f>
        <v>#N/A</v>
      </c>
      <c r="C334" s="3" t="e">
        <f>IF('Coach Card'!$T$5="",IF($B$1="Solo",IF(N333="","",N333),IF($B$1="MSolo",IF(Q333="","",Q333),IF($B$1="Duet",IF(T333="","",T333),IF($B$1="Mixed",IF(W333="","",W333),IF(Z333="","",Z333))))),IF($B$1="Solo",IF(N833="","",N833),IF($B$1="MSolo",IF(N833="","",N833),IF($B$1="Duet",IF(Q833="","",Q833),IF($B$1="Mixed",IF(T833="","",T833),IF(W833="","",W833))))))</f>
        <v>#N/A</v>
      </c>
      <c r="D334" s="3" t="e">
        <f>IF('Coach Card'!$T$5="",IF($D$1="Team",IF(AG333="","",AG333),""),IF($D$1="Team",IF(AD833="","",AD833),""))</f>
        <v>#N/A</v>
      </c>
      <c r="E334" s="3" t="e">
        <f>IF('Coach Card'!$T$5="",IF($D$1="Team",IF(AH333="","",AH333),""),IF($D$1="Team",IF(AE833="","",AE833),""))</f>
        <v>#N/A</v>
      </c>
      <c r="X334" s="1" t="s">
        <v>1765</v>
      </c>
      <c r="Y334" t="s">
        <v>2026</v>
      </c>
      <c r="Z334" s="3">
        <v>0.255</v>
      </c>
      <c r="AK334" t="s">
        <v>2022</v>
      </c>
      <c r="AL334" t="s">
        <v>1781</v>
      </c>
      <c r="AM334">
        <v>0.5</v>
      </c>
    </row>
    <row r="335" spans="1:39" x14ac:dyDescent="0.35">
      <c r="A335" s="6" t="e">
        <f>IF('Coach Card'!$T$5="",IF($B$1="Solo",IF(L334="","",L334),IF($B$1="MSolo",IF(O334="","",O334),IF($B$1="Duet",IF(R334="","",R334),IF($B$1="Mixed",IF(U334="","",U334),IF(X334="","",X334))))),IF($B$1="Solo",IF(L834="","",L834),IF($B$1="MSolo",IF(L834="","",L834),IF($B$1="Duet",IF(O834="","",O834),IF($B$1="Mixed",IF(R834="","",R834),IF(U834="","",U834))))))</f>
        <v>#N/A</v>
      </c>
      <c r="B335" s="3" t="e">
        <f>IF('Coach Card'!$T$5="",IF($B$1="Solo",IF(M334="","",M334),IF($B$1="MSolo",IF(P334="","",P334),IF($B$1="Duet",IF(S334="","",S334),IF($B$1="Mixed",IF(V334="","",V334),IF(Y334="","",Y334))))),IF($B$1="Solo",IF(M834="","",M834),IF($B$1="MSolo",IF(M834="","",M834),IF($B$1="Duet",IF(P834="","",P834),IF($B$1="Mixed",IF(S834="","",S834),IF(V834="","",V834))))))</f>
        <v>#N/A</v>
      </c>
      <c r="C335" s="3" t="e">
        <f>IF('Coach Card'!$T$5="",IF($B$1="Solo",IF(N334="","",N334),IF($B$1="MSolo",IF(Q334="","",Q334),IF($B$1="Duet",IF(T334="","",T334),IF($B$1="Mixed",IF(W334="","",W334),IF(Z334="","",Z334))))),IF($B$1="Solo",IF(N834="","",N834),IF($B$1="MSolo",IF(N834="","",N834),IF($B$1="Duet",IF(Q834="","",Q834),IF($B$1="Mixed",IF(T834="","",T834),IF(W834="","",W834))))))</f>
        <v>#N/A</v>
      </c>
      <c r="D335" s="3" t="e">
        <f>IF('Coach Card'!$T$5="",IF($D$1="Team",IF(AG334="","",AG334),""),IF($D$1="Team",IF(AD834="","",AD834),""))</f>
        <v>#N/A</v>
      </c>
      <c r="E335" s="3" t="e">
        <f>IF('Coach Card'!$T$5="",IF($D$1="Team",IF(AH334="","",AH334),""),IF($D$1="Team",IF(AE834="","",AE834),""))</f>
        <v>#N/A</v>
      </c>
      <c r="X335" s="1" t="s">
        <v>1765</v>
      </c>
      <c r="Y335" t="s">
        <v>2027</v>
      </c>
      <c r="Z335" s="3">
        <v>0.255</v>
      </c>
      <c r="AK335" t="s">
        <v>2023</v>
      </c>
      <c r="AL335" t="s">
        <v>1782</v>
      </c>
      <c r="AM335">
        <v>0.5</v>
      </c>
    </row>
    <row r="336" spans="1:39" x14ac:dyDescent="0.35">
      <c r="A336" s="6" t="e">
        <f>IF('Coach Card'!$T$5="",IF($B$1="Solo",IF(L335="","",L335),IF($B$1="MSolo",IF(O335="","",O335),IF($B$1="Duet",IF(R335="","",R335),IF($B$1="Mixed",IF(U335="","",U335),IF(X335="","",X335))))),IF($B$1="Solo",IF(L835="","",L835),IF($B$1="MSolo",IF(L835="","",L835),IF($B$1="Duet",IF(O835="","",O835),IF($B$1="Mixed",IF(R835="","",R835),IF(U835="","",U835))))))</f>
        <v>#N/A</v>
      </c>
      <c r="B336" s="3" t="e">
        <f>IF('Coach Card'!$T$5="",IF($B$1="Solo",IF(M335="","",M335),IF($B$1="MSolo",IF(P335="","",P335),IF($B$1="Duet",IF(S335="","",S335),IF($B$1="Mixed",IF(V335="","",V335),IF(Y335="","",Y335))))),IF($B$1="Solo",IF(M835="","",M835),IF($B$1="MSolo",IF(M835="","",M835),IF($B$1="Duet",IF(P835="","",P835),IF($B$1="Mixed",IF(S835="","",S835),IF(V835="","",V835))))))</f>
        <v>#N/A</v>
      </c>
      <c r="C336" s="3" t="e">
        <f>IF('Coach Card'!$T$5="",IF($B$1="Solo",IF(N335="","",N335),IF($B$1="MSolo",IF(Q335="","",Q335),IF($B$1="Duet",IF(T335="","",T335),IF($B$1="Mixed",IF(W335="","",W335),IF(Z335="","",Z335))))),IF($B$1="Solo",IF(N835="","",N835),IF($B$1="MSolo",IF(N835="","",N835),IF($B$1="Duet",IF(Q835="","",Q835),IF($B$1="Mixed",IF(T835="","",T835),IF(W835="","",W835))))))</f>
        <v>#N/A</v>
      </c>
      <c r="D336" s="3" t="e">
        <f>IF('Coach Card'!$T$5="",IF($D$1="Team",IF(AG335="","",AG335),""),IF($D$1="Team",IF(AD835="","",AD835),""))</f>
        <v>#N/A</v>
      </c>
      <c r="E336" s="3" t="e">
        <f>IF('Coach Card'!$T$5="",IF($D$1="Team",IF(AH335="","",AH335),""),IF($D$1="Team",IF(AE835="","",AE835),""))</f>
        <v>#N/A</v>
      </c>
      <c r="X336" s="1" t="s">
        <v>1765</v>
      </c>
      <c r="Y336" t="s">
        <v>2028</v>
      </c>
      <c r="Z336" s="3">
        <v>0.255</v>
      </c>
      <c r="AK336" t="s">
        <v>2024</v>
      </c>
      <c r="AL336" t="s">
        <v>1783</v>
      </c>
      <c r="AM336">
        <v>0.5</v>
      </c>
    </row>
    <row r="337" spans="1:39" x14ac:dyDescent="0.35">
      <c r="A337" s="6" t="e">
        <f>IF('Coach Card'!$T$5="",IF($B$1="Solo",IF(L336="","",L336),IF($B$1="MSolo",IF(O336="","",O336),IF($B$1="Duet",IF(R336="","",R336),IF($B$1="Mixed",IF(U336="","",U336),IF(X336="","",X336))))),IF($B$1="Solo",IF(L836="","",L836),IF($B$1="MSolo",IF(L836="","",L836),IF($B$1="Duet",IF(O836="","",O836),IF($B$1="Mixed",IF(R836="","",R836),IF(U836="","",U836))))))</f>
        <v>#N/A</v>
      </c>
      <c r="B337" s="3" t="e">
        <f>IF('Coach Card'!$T$5="",IF($B$1="Solo",IF(M336="","",M336),IF($B$1="MSolo",IF(P336="","",P336),IF($B$1="Duet",IF(S336="","",S336),IF($B$1="Mixed",IF(V336="","",V336),IF(Y336="","",Y336))))),IF($B$1="Solo",IF(M836="","",M836),IF($B$1="MSolo",IF(M836="","",M836),IF($B$1="Duet",IF(P836="","",P836),IF($B$1="Mixed",IF(S836="","",S836),IF(V836="","",V836))))))</f>
        <v>#N/A</v>
      </c>
      <c r="C337" s="3" t="e">
        <f>IF('Coach Card'!$T$5="",IF($B$1="Solo",IF(N336="","",N336),IF($B$1="MSolo",IF(Q336="","",Q336),IF($B$1="Duet",IF(T336="","",T336),IF($B$1="Mixed",IF(W336="","",W336),IF(Z336="","",Z336))))),IF($B$1="Solo",IF(N836="","",N836),IF($B$1="MSolo",IF(N836="","",N836),IF($B$1="Duet",IF(Q836="","",Q836),IF($B$1="Mixed",IF(T836="","",T836),IF(W836="","",W836))))))</f>
        <v>#N/A</v>
      </c>
      <c r="D337" s="3" t="e">
        <f>IF('Coach Card'!$T$5="",IF($D$1="Team",IF(AG336="","",AG336),""),IF($D$1="Team",IF(AD836="","",AD836),""))</f>
        <v>#N/A</v>
      </c>
      <c r="E337" s="3" t="e">
        <f>IF('Coach Card'!$T$5="",IF($D$1="Team",IF(AH336="","",AH336),""),IF($D$1="Team",IF(AE836="","",AE836),""))</f>
        <v>#N/A</v>
      </c>
      <c r="X337" s="1" t="s">
        <v>1765</v>
      </c>
      <c r="Y337" t="s">
        <v>2029</v>
      </c>
      <c r="Z337" s="3">
        <v>0.255</v>
      </c>
      <c r="AK337" t="s">
        <v>2025</v>
      </c>
      <c r="AL337" t="s">
        <v>1784</v>
      </c>
      <c r="AM337">
        <v>0.5</v>
      </c>
    </row>
    <row r="338" spans="1:39" x14ac:dyDescent="0.35">
      <c r="A338" s="6" t="e">
        <f>IF('Coach Card'!$T$5="",IF($B$1="Solo",IF(L337="","",L337),IF($B$1="MSolo",IF(O337="","",O337),IF($B$1="Duet",IF(R337="","",R337),IF($B$1="Mixed",IF(U337="","",U337),IF(X337="","",X337))))),IF($B$1="Solo",IF(L837="","",L837),IF($B$1="MSolo",IF(L837="","",L837),IF($B$1="Duet",IF(O837="","",O837),IF($B$1="Mixed",IF(R837="","",R837),IF(U837="","",U837))))))</f>
        <v>#N/A</v>
      </c>
      <c r="B338" s="3" t="e">
        <f>IF('Coach Card'!$T$5="",IF($B$1="Solo",IF(M337="","",M337),IF($B$1="MSolo",IF(P337="","",P337),IF($B$1="Duet",IF(S337="","",S337),IF($B$1="Mixed",IF(V337="","",V337),IF(Y337="","",Y337))))),IF($B$1="Solo",IF(M837="","",M837),IF($B$1="MSolo",IF(M837="","",M837),IF($B$1="Duet",IF(P837="","",P837),IF($B$1="Mixed",IF(S837="","",S837),IF(V837="","",V837))))))</f>
        <v>#N/A</v>
      </c>
      <c r="C338" s="3" t="e">
        <f>IF('Coach Card'!$T$5="",IF($B$1="Solo",IF(N337="","",N337),IF($B$1="MSolo",IF(Q337="","",Q337),IF($B$1="Duet",IF(T337="","",T337),IF($B$1="Mixed",IF(W337="","",W337),IF(Z337="","",Z337))))),IF($B$1="Solo",IF(N837="","",N837),IF($B$1="MSolo",IF(N837="","",N837),IF($B$1="Duet",IF(Q837="","",Q837),IF($B$1="Mixed",IF(T837="","",T837),IF(W837="","",W837))))))</f>
        <v>#N/A</v>
      </c>
      <c r="D338" s="3" t="e">
        <f>IF('Coach Card'!$T$5="",IF($D$1="Team",IF(AG337="","",AG337),""),IF($D$1="Team",IF(AD837="","",AD837),""))</f>
        <v>#N/A</v>
      </c>
      <c r="E338" s="3" t="e">
        <f>IF('Coach Card'!$T$5="",IF($D$1="Team",IF(AH337="","",AH337),""),IF($D$1="Team",IF(AE837="","",AE837),""))</f>
        <v>#N/A</v>
      </c>
      <c r="X338" s="1" t="s">
        <v>1765</v>
      </c>
      <c r="Y338" t="s">
        <v>2030</v>
      </c>
      <c r="Z338" s="3">
        <v>0.27</v>
      </c>
      <c r="AK338" t="s">
        <v>2026</v>
      </c>
      <c r="AL338" t="s">
        <v>1785</v>
      </c>
      <c r="AM338">
        <v>0.5</v>
      </c>
    </row>
    <row r="339" spans="1:39" x14ac:dyDescent="0.35">
      <c r="A339" s="6" t="e">
        <f>IF('Coach Card'!$T$5="",IF($B$1="Solo",IF(L338="","",L338),IF($B$1="MSolo",IF(O338="","",O338),IF($B$1="Duet",IF(R338="","",R338),IF($B$1="Mixed",IF(U338="","",U338),IF(X338="","",X338))))),IF($B$1="Solo",IF(L838="","",L838),IF($B$1="MSolo",IF(L838="","",L838),IF($B$1="Duet",IF(O838="","",O838),IF($B$1="Mixed",IF(R838="","",R838),IF(U838="","",U838))))))</f>
        <v>#N/A</v>
      </c>
      <c r="B339" s="3" t="e">
        <f>IF('Coach Card'!$T$5="",IF($B$1="Solo",IF(M338="","",M338),IF($B$1="MSolo",IF(P338="","",P338),IF($B$1="Duet",IF(S338="","",S338),IF($B$1="Mixed",IF(V338="","",V338),IF(Y338="","",Y338))))),IF($B$1="Solo",IF(M838="","",M838),IF($B$1="MSolo",IF(M838="","",M838),IF($B$1="Duet",IF(P838="","",P838),IF($B$1="Mixed",IF(S838="","",S838),IF(V838="","",V838))))))</f>
        <v>#N/A</v>
      </c>
      <c r="C339" s="3" t="e">
        <f>IF('Coach Card'!$T$5="",IF($B$1="Solo",IF(N338="","",N338),IF($B$1="MSolo",IF(Q338="","",Q338),IF($B$1="Duet",IF(T338="","",T338),IF($B$1="Mixed",IF(W338="","",W338),IF(Z338="","",Z338))))),IF($B$1="Solo",IF(N838="","",N838),IF($B$1="MSolo",IF(N838="","",N838),IF($B$1="Duet",IF(Q838="","",Q838),IF($B$1="Mixed",IF(T838="","",T838),IF(W838="","",W838))))))</f>
        <v>#N/A</v>
      </c>
      <c r="D339" s="3" t="e">
        <f>IF('Coach Card'!$T$5="",IF($D$1="Team",IF(AG338="","",AG338),""),IF($D$1="Team",IF(AD838="","",AD838),""))</f>
        <v>#N/A</v>
      </c>
      <c r="E339" s="3" t="e">
        <f>IF('Coach Card'!$T$5="",IF($D$1="Team",IF(AH338="","",AH338),""),IF($D$1="Team",IF(AE838="","",AE838),""))</f>
        <v>#N/A</v>
      </c>
      <c r="X339" s="1" t="s">
        <v>1765</v>
      </c>
      <c r="Y339" t="s">
        <v>2031</v>
      </c>
      <c r="Z339" s="3">
        <v>0.27</v>
      </c>
      <c r="AK339" t="s">
        <v>2027</v>
      </c>
      <c r="AL339" t="s">
        <v>1786</v>
      </c>
      <c r="AM339">
        <v>0.5</v>
      </c>
    </row>
    <row r="340" spans="1:39" x14ac:dyDescent="0.35">
      <c r="A340" s="6" t="e">
        <f>IF('Coach Card'!$T$5="",IF($B$1="Solo",IF(L339="","",L339),IF($B$1="MSolo",IF(O339="","",O339),IF($B$1="Duet",IF(R339="","",R339),IF($B$1="Mixed",IF(U339="","",U339),IF(X339="","",X339))))),IF($B$1="Solo",IF(L839="","",L839),IF($B$1="MSolo",IF(L839="","",L839),IF($B$1="Duet",IF(O839="","",O839),IF($B$1="Mixed",IF(R839="","",R839),IF(U839="","",U839))))))</f>
        <v>#N/A</v>
      </c>
      <c r="B340" s="3" t="e">
        <f>IF('Coach Card'!$T$5="",IF($B$1="Solo",IF(M339="","",M339),IF($B$1="MSolo",IF(P339="","",P339),IF($B$1="Duet",IF(S339="","",S339),IF($B$1="Mixed",IF(V339="","",V339),IF(Y339="","",Y339))))),IF($B$1="Solo",IF(M839="","",M839),IF($B$1="MSolo",IF(M839="","",M839),IF($B$1="Duet",IF(P839="","",P839),IF($B$1="Mixed",IF(S839="","",S839),IF(V839="","",V839))))))</f>
        <v>#N/A</v>
      </c>
      <c r="C340" s="3" t="e">
        <f>IF('Coach Card'!$T$5="",IF($B$1="Solo",IF(N339="","",N339),IF($B$1="MSolo",IF(Q339="","",Q339),IF($B$1="Duet",IF(T339="","",T339),IF($B$1="Mixed",IF(W339="","",W339),IF(Z339="","",Z339))))),IF($B$1="Solo",IF(N839="","",N839),IF($B$1="MSolo",IF(N839="","",N839),IF($B$1="Duet",IF(Q839="","",Q839),IF($B$1="Mixed",IF(T839="","",T839),IF(W839="","",W839))))))</f>
        <v>#N/A</v>
      </c>
      <c r="D340" s="3" t="e">
        <f>IF('Coach Card'!$T$5="",IF($D$1="Team",IF(AG339="","",AG339),""),IF($D$1="Team",IF(AD839="","",AD839),""))</f>
        <v>#N/A</v>
      </c>
      <c r="E340" s="3" t="e">
        <f>IF('Coach Card'!$T$5="",IF($D$1="Team",IF(AH339="","",AH339),""),IF($D$1="Team",IF(AE839="","",AE839),""))</f>
        <v>#N/A</v>
      </c>
      <c r="X340" s="1" t="s">
        <v>1765</v>
      </c>
      <c r="Y340" t="s">
        <v>2032</v>
      </c>
      <c r="Z340" s="3">
        <v>0.27</v>
      </c>
      <c r="AK340" t="s">
        <v>2028</v>
      </c>
      <c r="AL340" t="s">
        <v>1787</v>
      </c>
      <c r="AM340">
        <v>0.5</v>
      </c>
    </row>
    <row r="341" spans="1:39" x14ac:dyDescent="0.35">
      <c r="A341" s="6" t="e">
        <f>IF('Coach Card'!$T$5="",IF($B$1="Solo",IF(L340="","",L340),IF($B$1="MSolo",IF(O340="","",O340),IF($B$1="Duet",IF(R340="","",R340),IF($B$1="Mixed",IF(U340="","",U340),IF(X340="","",X340))))),IF($B$1="Solo",IF(L840="","",L840),IF($B$1="MSolo",IF(L840="","",L840),IF($B$1="Duet",IF(O840="","",O840),IF($B$1="Mixed",IF(R840="","",R840),IF(U840="","",U840))))))</f>
        <v>#N/A</v>
      </c>
      <c r="B341" s="3" t="e">
        <f>IF('Coach Card'!$T$5="",IF($B$1="Solo",IF(M340="","",M340),IF($B$1="MSolo",IF(P340="","",P340),IF($B$1="Duet",IF(S340="","",S340),IF($B$1="Mixed",IF(V340="","",V340),IF(Y340="","",Y340))))),IF($B$1="Solo",IF(M840="","",M840),IF($B$1="MSolo",IF(M840="","",M840),IF($B$1="Duet",IF(P840="","",P840),IF($B$1="Mixed",IF(S840="","",S840),IF(V840="","",V840))))))</f>
        <v>#N/A</v>
      </c>
      <c r="C341" s="3" t="e">
        <f>IF('Coach Card'!$T$5="",IF($B$1="Solo",IF(N340="","",N340),IF($B$1="MSolo",IF(Q340="","",Q340),IF($B$1="Duet",IF(T340="","",T340),IF($B$1="Mixed",IF(W340="","",W340),IF(Z340="","",Z340))))),IF($B$1="Solo",IF(N840="","",N840),IF($B$1="MSolo",IF(N840="","",N840),IF($B$1="Duet",IF(Q840="","",Q840),IF($B$1="Mixed",IF(T840="","",T840),IF(W840="","",W840))))))</f>
        <v>#N/A</v>
      </c>
      <c r="D341" s="3" t="e">
        <f>IF('Coach Card'!$T$5="",IF($D$1="Team",IF(AG340="","",AG340),""),IF($D$1="Team",IF(AD840="","",AD840),""))</f>
        <v>#N/A</v>
      </c>
      <c r="E341" s="3" t="e">
        <f>IF('Coach Card'!$T$5="",IF($D$1="Team",IF(AH340="","",AH340),""),IF($D$1="Team",IF(AE840="","",AE840),""))</f>
        <v>#N/A</v>
      </c>
      <c r="X341" s="1" t="s">
        <v>1765</v>
      </c>
      <c r="Y341" t="s">
        <v>2033</v>
      </c>
      <c r="Z341" s="3">
        <v>0.27</v>
      </c>
      <c r="AK341" t="s">
        <v>2029</v>
      </c>
      <c r="AL341" t="s">
        <v>1853</v>
      </c>
      <c r="AM341">
        <v>0.5</v>
      </c>
    </row>
    <row r="342" spans="1:39" x14ac:dyDescent="0.35">
      <c r="A342" s="6" t="e">
        <f>IF('Coach Card'!$T$5="",IF($B$1="Solo",IF(L341="","",L341),IF($B$1="MSolo",IF(O341="","",O341),IF($B$1="Duet",IF(R341="","",R341),IF($B$1="Mixed",IF(U341="","",U341),IF(X341="","",X341))))),IF($B$1="Solo",IF(L841="","",L841),IF($B$1="MSolo",IF(L841="","",L841),IF($B$1="Duet",IF(O841="","",O841),IF($B$1="Mixed",IF(R841="","",R841),IF(U841="","",U841))))))</f>
        <v>#N/A</v>
      </c>
      <c r="B342" s="3" t="e">
        <f>IF('Coach Card'!$T$5="",IF($B$1="Solo",IF(M341="","",M341),IF($B$1="MSolo",IF(P341="","",P341),IF($B$1="Duet",IF(S341="","",S341),IF($B$1="Mixed",IF(V341="","",V341),IF(Y341="","",Y341))))),IF($B$1="Solo",IF(M841="","",M841),IF($B$1="MSolo",IF(M841="","",M841),IF($B$1="Duet",IF(P841="","",P841),IF($B$1="Mixed",IF(S841="","",S841),IF(V841="","",V841))))))</f>
        <v>#N/A</v>
      </c>
      <c r="C342" s="3" t="e">
        <f>IF('Coach Card'!$T$5="",IF($B$1="Solo",IF(N341="","",N341),IF($B$1="MSolo",IF(Q341="","",Q341),IF($B$1="Duet",IF(T341="","",T341),IF($B$1="Mixed",IF(W341="","",W341),IF(Z341="","",Z341))))),IF($B$1="Solo",IF(N841="","",N841),IF($B$1="MSolo",IF(N841="","",N841),IF($B$1="Duet",IF(Q841="","",Q841),IF($B$1="Mixed",IF(T841="","",T841),IF(W841="","",W841))))))</f>
        <v>#N/A</v>
      </c>
      <c r="D342" s="3" t="e">
        <f>IF('Coach Card'!$T$5="",IF($D$1="Team",IF(AG341="","",AG341),""),IF($D$1="Team",IF(AD841="","",AD841),""))</f>
        <v>#N/A</v>
      </c>
      <c r="E342" s="3" t="e">
        <f>IF('Coach Card'!$T$5="",IF($D$1="Team",IF(AH341="","",AH341),""),IF($D$1="Team",IF(AE841="","",AE841),""))</f>
        <v>#N/A</v>
      </c>
      <c r="X342" s="1" t="s">
        <v>1765</v>
      </c>
      <c r="Y342" t="s">
        <v>2034</v>
      </c>
      <c r="Z342" s="3">
        <v>0.27</v>
      </c>
      <c r="AK342" t="s">
        <v>2030</v>
      </c>
      <c r="AL342" t="s">
        <v>1788</v>
      </c>
      <c r="AM342">
        <v>0.5</v>
      </c>
    </row>
    <row r="343" spans="1:39" x14ac:dyDescent="0.35">
      <c r="A343" s="6" t="e">
        <f>IF('Coach Card'!$T$5="",IF($B$1="Solo",IF(L342="","",L342),IF($B$1="MSolo",IF(O342="","",O342),IF($B$1="Duet",IF(R342="","",R342),IF($B$1="Mixed",IF(U342="","",U342),IF(X342="","",X342))))),IF($B$1="Solo",IF(L842="","",L842),IF($B$1="MSolo",IF(L842="","",L842),IF($B$1="Duet",IF(O842="","",O842),IF($B$1="Mixed",IF(R842="","",R842),IF(U842="","",U842))))))</f>
        <v>#N/A</v>
      </c>
      <c r="B343" s="3" t="e">
        <f>IF('Coach Card'!$T$5="",IF($B$1="Solo",IF(M342="","",M342),IF($B$1="MSolo",IF(P342="","",P342),IF($B$1="Duet",IF(S342="","",S342),IF($B$1="Mixed",IF(V342="","",V342),IF(Y342="","",Y342))))),IF($B$1="Solo",IF(M842="","",M842),IF($B$1="MSolo",IF(M842="","",M842),IF($B$1="Duet",IF(P842="","",P842),IF($B$1="Mixed",IF(S842="","",S842),IF(V842="","",V842))))))</f>
        <v>#N/A</v>
      </c>
      <c r="C343" s="3" t="e">
        <f>IF('Coach Card'!$T$5="",IF($B$1="Solo",IF(N342="","",N342),IF($B$1="MSolo",IF(Q342="","",Q342),IF($B$1="Duet",IF(T342="","",T342),IF($B$1="Mixed",IF(W342="","",W342),IF(Z342="","",Z342))))),IF($B$1="Solo",IF(N842="","",N842),IF($B$1="MSolo",IF(N842="","",N842),IF($B$1="Duet",IF(Q842="","",Q842),IF($B$1="Mixed",IF(T842="","",T842),IF(W842="","",W842))))))</f>
        <v>#N/A</v>
      </c>
      <c r="D343" s="3" t="e">
        <f>IF('Coach Card'!$T$5="",IF($D$1="Team",IF(AG342="","",AG342),""),IF($D$1="Team",IF(AD842="","",AD842),""))</f>
        <v>#N/A</v>
      </c>
      <c r="E343" s="3" t="e">
        <f>IF('Coach Card'!$T$5="",IF($D$1="Team",IF(AH342="","",AH342),""),IF($D$1="Team",IF(AE842="","",AE842),""))</f>
        <v>#N/A</v>
      </c>
      <c r="X343" s="1" t="s">
        <v>1765</v>
      </c>
      <c r="Y343" t="s">
        <v>2035</v>
      </c>
      <c r="Z343" s="3">
        <v>0.36</v>
      </c>
      <c r="AK343" t="s">
        <v>2031</v>
      </c>
      <c r="AL343" t="s">
        <v>1789</v>
      </c>
      <c r="AM343">
        <v>0.5</v>
      </c>
    </row>
    <row r="344" spans="1:39" x14ac:dyDescent="0.35">
      <c r="A344" s="6" t="e">
        <f>IF('Coach Card'!$T$5="",IF($B$1="Solo",IF(L343="","",L343),IF($B$1="MSolo",IF(O343="","",O343),IF($B$1="Duet",IF(R343="","",R343),IF($B$1="Mixed",IF(U343="","",U343),IF(X343="","",X343))))),IF($B$1="Solo",IF(L843="","",L843),IF($B$1="MSolo",IF(L843="","",L843),IF($B$1="Duet",IF(O843="","",O843),IF($B$1="Mixed",IF(R843="","",R843),IF(U843="","",U843))))))</f>
        <v>#N/A</v>
      </c>
      <c r="B344" s="3" t="e">
        <f>IF('Coach Card'!$T$5="",IF($B$1="Solo",IF(M343="","",M343),IF($B$1="MSolo",IF(P343="","",P343),IF($B$1="Duet",IF(S343="","",S343),IF($B$1="Mixed",IF(V343="","",V343),IF(Y343="","",Y343))))),IF($B$1="Solo",IF(M843="","",M843),IF($B$1="MSolo",IF(M843="","",M843),IF($B$1="Duet",IF(P843="","",P843),IF($B$1="Mixed",IF(S843="","",S843),IF(V843="","",V843))))))</f>
        <v>#N/A</v>
      </c>
      <c r="C344" s="3" t="e">
        <f>IF('Coach Card'!$T$5="",IF($B$1="Solo",IF(N343="","",N343),IF($B$1="MSolo",IF(Q343="","",Q343),IF($B$1="Duet",IF(T343="","",T343),IF($B$1="Mixed",IF(W343="","",W343),IF(Z343="","",Z343))))),IF($B$1="Solo",IF(N843="","",N843),IF($B$1="MSolo",IF(N843="","",N843),IF($B$1="Duet",IF(Q843="","",Q843),IF($B$1="Mixed",IF(T843="","",T843),IF(W843="","",W843))))))</f>
        <v>#N/A</v>
      </c>
      <c r="D344" s="3" t="e">
        <f>IF('Coach Card'!$T$5="",IF($D$1="Team",IF(AG343="","",AG343),""),IF($D$1="Team",IF(AD843="","",AD843),""))</f>
        <v>#N/A</v>
      </c>
      <c r="E344" s="3" t="e">
        <f>IF('Coach Card'!$T$5="",IF($D$1="Team",IF(AH343="","",AH343),""),IF($D$1="Team",IF(AE843="","",AE843),""))</f>
        <v>#N/A</v>
      </c>
      <c r="X344" s="1" t="s">
        <v>1765</v>
      </c>
      <c r="Y344" t="s">
        <v>2036</v>
      </c>
      <c r="Z344" s="3">
        <v>0.36</v>
      </c>
      <c r="AK344" t="s">
        <v>2032</v>
      </c>
      <c r="AL344" t="s">
        <v>1790</v>
      </c>
      <c r="AM344">
        <v>0.5</v>
      </c>
    </row>
    <row r="345" spans="1:39" x14ac:dyDescent="0.35">
      <c r="A345" s="6" t="e">
        <f>IF('Coach Card'!$T$5="",IF($B$1="Solo",IF(L344="","",L344),IF($B$1="MSolo",IF(O344="","",O344),IF($B$1="Duet",IF(R344="","",R344),IF($B$1="Mixed",IF(U344="","",U344),IF(X344="","",X344))))),IF($B$1="Solo",IF(L844="","",L844),IF($B$1="MSolo",IF(L844="","",L844),IF($B$1="Duet",IF(O844="","",O844),IF($B$1="Mixed",IF(R844="","",R844),IF(U844="","",U844))))))</f>
        <v>#N/A</v>
      </c>
      <c r="B345" s="3" t="e">
        <f>IF('Coach Card'!$T$5="",IF($B$1="Solo",IF(M344="","",M344),IF($B$1="MSolo",IF(P344="","",P344),IF($B$1="Duet",IF(S344="","",S344),IF($B$1="Mixed",IF(V344="","",V344),IF(Y344="","",Y344))))),IF($B$1="Solo",IF(M844="","",M844),IF($B$1="MSolo",IF(M844="","",M844),IF($B$1="Duet",IF(P844="","",P844),IF($B$1="Mixed",IF(S844="","",S844),IF(V844="","",V844))))))</f>
        <v>#N/A</v>
      </c>
      <c r="C345" s="3" t="e">
        <f>IF('Coach Card'!$T$5="",IF($B$1="Solo",IF(N344="","",N344),IF($B$1="MSolo",IF(Q344="","",Q344),IF($B$1="Duet",IF(T344="","",T344),IF($B$1="Mixed",IF(W344="","",W344),IF(Z344="","",Z344))))),IF($B$1="Solo",IF(N844="","",N844),IF($B$1="MSolo",IF(N844="","",N844),IF($B$1="Duet",IF(Q844="","",Q844),IF($B$1="Mixed",IF(T844="","",T844),IF(W844="","",W844))))))</f>
        <v>#N/A</v>
      </c>
      <c r="D345" s="3" t="e">
        <f>IF('Coach Card'!$T$5="",IF($D$1="Team",IF(AG344="","",AG344),""),IF($D$1="Team",IF(AD844="","",AD844),""))</f>
        <v>#N/A</v>
      </c>
      <c r="E345" s="3" t="e">
        <f>IF('Coach Card'!$T$5="",IF($D$1="Team",IF(AH344="","",AH344),""),IF($D$1="Team",IF(AE844="","",AE844),""))</f>
        <v>#N/A</v>
      </c>
      <c r="X345" s="1" t="s">
        <v>1765</v>
      </c>
      <c r="Y345" t="s">
        <v>2037</v>
      </c>
      <c r="Z345" s="3">
        <v>0.36</v>
      </c>
      <c r="AK345" t="s">
        <v>2033</v>
      </c>
      <c r="AL345" t="s">
        <v>1791</v>
      </c>
      <c r="AM345">
        <v>0.5</v>
      </c>
    </row>
    <row r="346" spans="1:39" x14ac:dyDescent="0.35">
      <c r="A346" s="6" t="e">
        <f>IF('Coach Card'!$T$5="",IF($B$1="Solo",IF(L345="","",L345),IF($B$1="MSolo",IF(O345="","",O345),IF($B$1="Duet",IF(R345="","",R345),IF($B$1="Mixed",IF(U345="","",U345),IF(X345="","",X345))))),IF($B$1="Solo",IF(L845="","",L845),IF($B$1="MSolo",IF(L845="","",L845),IF($B$1="Duet",IF(O845="","",O845),IF($B$1="Mixed",IF(R845="","",R845),IF(U845="","",U845))))))</f>
        <v>#N/A</v>
      </c>
      <c r="B346" s="3" t="e">
        <f>IF('Coach Card'!$T$5="",IF($B$1="Solo",IF(M345="","",M345),IF($B$1="MSolo",IF(P345="","",P345),IF($B$1="Duet",IF(S345="","",S345),IF($B$1="Mixed",IF(V345="","",V345),IF(Y345="","",Y345))))),IF($B$1="Solo",IF(M845="","",M845),IF($B$1="MSolo",IF(M845="","",M845),IF($B$1="Duet",IF(P845="","",P845),IF($B$1="Mixed",IF(S845="","",S845),IF(V845="","",V845))))))</f>
        <v>#N/A</v>
      </c>
      <c r="C346" s="3" t="e">
        <f>IF('Coach Card'!$T$5="",IF($B$1="Solo",IF(N345="","",N345),IF($B$1="MSolo",IF(Q345="","",Q345),IF($B$1="Duet",IF(T345="","",T345),IF($B$1="Mixed",IF(W345="","",W345),IF(Z345="","",Z345))))),IF($B$1="Solo",IF(N845="","",N845),IF($B$1="MSolo",IF(N845="","",N845),IF($B$1="Duet",IF(Q845="","",Q845),IF($B$1="Mixed",IF(T845="","",T845),IF(W845="","",W845))))))</f>
        <v>#N/A</v>
      </c>
      <c r="D346" s="3" t="e">
        <f>IF('Coach Card'!$T$5="",IF($D$1="Team",IF(AG345="","",AG345),""),IF($D$1="Team",IF(AD845="","",AD845),""))</f>
        <v>#N/A</v>
      </c>
      <c r="E346" s="3" t="e">
        <f>IF('Coach Card'!$T$5="",IF($D$1="Team",IF(AH345="","",AH345),""),IF($D$1="Team",IF(AE845="","",AE845),""))</f>
        <v>#N/A</v>
      </c>
      <c r="X346" s="1" t="s">
        <v>1765</v>
      </c>
      <c r="Y346" t="s">
        <v>2038</v>
      </c>
      <c r="Z346" s="3">
        <v>0.48</v>
      </c>
      <c r="AK346" t="s">
        <v>2034</v>
      </c>
      <c r="AL346" t="s">
        <v>1792</v>
      </c>
      <c r="AM346">
        <v>0.5</v>
      </c>
    </row>
    <row r="347" spans="1:39" x14ac:dyDescent="0.35">
      <c r="A347" s="6" t="e">
        <f>IF('Coach Card'!$T$5="",IF($B$1="Solo",IF(L346="","",L346),IF($B$1="MSolo",IF(O346="","",O346),IF($B$1="Duet",IF(R346="","",R346),IF($B$1="Mixed",IF(U346="","",U346),IF(X346="","",X346))))),IF($B$1="Solo",IF(L846="","",L846),IF($B$1="MSolo",IF(L846="","",L846),IF($B$1="Duet",IF(O846="","",O846),IF($B$1="Mixed",IF(R846="","",R846),IF(U846="","",U846))))))</f>
        <v>#N/A</v>
      </c>
      <c r="B347" s="3" t="e">
        <f>IF('Coach Card'!$T$5="",IF($B$1="Solo",IF(M346="","",M346),IF($B$1="MSolo",IF(P346="","",P346),IF($B$1="Duet",IF(S346="","",S346),IF($B$1="Mixed",IF(V346="","",V346),IF(Y346="","",Y346))))),IF($B$1="Solo",IF(M846="","",M846),IF($B$1="MSolo",IF(M846="","",M846),IF($B$1="Duet",IF(P846="","",P846),IF($B$1="Mixed",IF(S846="","",S846),IF(V846="","",V846))))))</f>
        <v>#N/A</v>
      </c>
      <c r="C347" s="3" t="e">
        <f>IF('Coach Card'!$T$5="",IF($B$1="Solo",IF(N346="","",N346),IF($B$1="MSolo",IF(Q346="","",Q346),IF($B$1="Duet",IF(T346="","",T346),IF($B$1="Mixed",IF(W346="","",W346),IF(Z346="","",Z346))))),IF($B$1="Solo",IF(N846="","",N846),IF($B$1="MSolo",IF(N846="","",N846),IF($B$1="Duet",IF(Q846="","",Q846),IF($B$1="Mixed",IF(T846="","",T846),IF(W846="","",W846))))))</f>
        <v>#N/A</v>
      </c>
      <c r="D347" s="3" t="e">
        <f>IF('Coach Card'!$T$5="",IF($D$1="Team",IF(AG346="","",AG346),""),IF($D$1="Team",IF(AD846="","",AD846),""))</f>
        <v>#N/A</v>
      </c>
      <c r="E347" s="3" t="e">
        <f>IF('Coach Card'!$T$5="",IF($D$1="Team",IF(AH346="","",AH346),""),IF($D$1="Team",IF(AE846="","",AE846),""))</f>
        <v>#N/A</v>
      </c>
      <c r="X347" s="1" t="s">
        <v>1765</v>
      </c>
      <c r="Y347" t="s">
        <v>2039</v>
      </c>
      <c r="Z347" s="3">
        <v>0.56999999999999995</v>
      </c>
      <c r="AK347" t="s">
        <v>2035</v>
      </c>
      <c r="AL347" t="s">
        <v>1793</v>
      </c>
      <c r="AM347">
        <v>0.5</v>
      </c>
    </row>
    <row r="348" spans="1:39" x14ac:dyDescent="0.35">
      <c r="A348" s="6" t="e">
        <f>IF('Coach Card'!$T$5="",IF($B$1="Solo",IF(L347="","",L347),IF($B$1="MSolo",IF(O347="","",O347),IF($B$1="Duet",IF(R347="","",R347),IF($B$1="Mixed",IF(U347="","",U347),IF(X347="","",X347))))),IF($B$1="Solo",IF(L847="","",L847),IF($B$1="MSolo",IF(L847="","",L847),IF($B$1="Duet",IF(O847="","",O847),IF($B$1="Mixed",IF(R847="","",R847),IF(U847="","",U847))))))</f>
        <v>#N/A</v>
      </c>
      <c r="B348" s="3" t="e">
        <f>IF('Coach Card'!$T$5="",IF($B$1="Solo",IF(M347="","",M347),IF($B$1="MSolo",IF(P347="","",P347),IF($B$1="Duet",IF(S347="","",S347),IF($B$1="Mixed",IF(V347="","",V347),IF(Y347="","",Y347))))),IF($B$1="Solo",IF(M847="","",M847),IF($B$1="MSolo",IF(M847="","",M847),IF($B$1="Duet",IF(P847="","",P847),IF($B$1="Mixed",IF(S847="","",S847),IF(V847="","",V847))))))</f>
        <v>#N/A</v>
      </c>
      <c r="C348" s="3" t="e">
        <f>IF('Coach Card'!$T$5="",IF($B$1="Solo",IF(N347="","",N347),IF($B$1="MSolo",IF(Q347="","",Q347),IF($B$1="Duet",IF(T347="","",T347),IF($B$1="Mixed",IF(W347="","",W347),IF(Z347="","",Z347))))),IF($B$1="Solo",IF(N847="","",N847),IF($B$1="MSolo",IF(N847="","",N847),IF($B$1="Duet",IF(Q847="","",Q847),IF($B$1="Mixed",IF(T847="","",T847),IF(W847="","",W847))))))</f>
        <v>#N/A</v>
      </c>
      <c r="D348" s="3" t="e">
        <f>IF('Coach Card'!$T$5="",IF($D$1="Team",IF(AG347="","",AG347),""),IF($D$1="Team",IF(AD847="","",AD847),""))</f>
        <v>#N/A</v>
      </c>
      <c r="E348" s="3" t="e">
        <f>IF('Coach Card'!$T$5="",IF($D$1="Team",IF(AH347="","",AH347),""),IF($D$1="Team",IF(AE847="","",AE847),""))</f>
        <v>#N/A</v>
      </c>
      <c r="X348" s="1" t="s">
        <v>1765</v>
      </c>
      <c r="Y348" t="s">
        <v>2462</v>
      </c>
      <c r="Z348" s="3">
        <v>0.6</v>
      </c>
      <c r="AK348" t="s">
        <v>2036</v>
      </c>
      <c r="AL348" t="s">
        <v>1794</v>
      </c>
      <c r="AM348">
        <v>0.5</v>
      </c>
    </row>
    <row r="349" spans="1:39" x14ac:dyDescent="0.35">
      <c r="A349" s="6" t="e">
        <f>IF('Coach Card'!$T$5="",IF($B$1="Solo",IF(L348="","",L348),IF($B$1="MSolo",IF(O348="","",O348),IF($B$1="Duet",IF(R348="","",R348),IF($B$1="Mixed",IF(U348="","",U348),IF(X348="","",X348))))),IF($B$1="Solo",IF(L848="","",L848),IF($B$1="MSolo",IF(L848="","",L848),IF($B$1="Duet",IF(O848="","",O848),IF($B$1="Mixed",IF(R848="","",R848),IF(U848="","",U848))))))</f>
        <v>#N/A</v>
      </c>
      <c r="B349" s="3" t="e">
        <f>IF('Coach Card'!$T$5="",IF($B$1="Solo",IF(M348="","",M348),IF($B$1="MSolo",IF(P348="","",P348),IF($B$1="Duet",IF(S348="","",S348),IF($B$1="Mixed",IF(V348="","",V348),IF(Y348="","",Y348))))),IF($B$1="Solo",IF(M848="","",M848),IF($B$1="MSolo",IF(M848="","",M848),IF($B$1="Duet",IF(P848="","",P848),IF($B$1="Mixed",IF(S848="","",S848),IF(V848="","",V848))))))</f>
        <v>#N/A</v>
      </c>
      <c r="C349" s="3" t="e">
        <f>IF('Coach Card'!$T$5="",IF($B$1="Solo",IF(N348="","",N348),IF($B$1="MSolo",IF(Q348="","",Q348),IF($B$1="Duet",IF(T348="","",T348),IF($B$1="Mixed",IF(W348="","",W348),IF(Z348="","",Z348))))),IF($B$1="Solo",IF(N848="","",N848),IF($B$1="MSolo",IF(N848="","",N848),IF($B$1="Duet",IF(Q848="","",Q848),IF($B$1="Mixed",IF(T848="","",T848),IF(W848="","",W848))))))</f>
        <v>#N/A</v>
      </c>
      <c r="D349" s="3" t="e">
        <f>IF('Coach Card'!$T$5="",IF($D$1="Team",IF(AG348="","",AG348),""),IF($D$1="Team",IF(AD848="","",AD848),""))</f>
        <v>#N/A</v>
      </c>
      <c r="E349" s="3" t="e">
        <f>IF('Coach Card'!$T$5="",IF($D$1="Team",IF(AH348="","",AH348),""),IF($D$1="Team",IF(AE848="","",AE848),""))</f>
        <v>#N/A</v>
      </c>
      <c r="X349" s="1" t="s">
        <v>1765</v>
      </c>
      <c r="Y349" t="s">
        <v>2463</v>
      </c>
      <c r="Z349" s="3">
        <v>0.69</v>
      </c>
      <c r="AK349" t="s">
        <v>2037</v>
      </c>
      <c r="AL349" t="s">
        <v>1795</v>
      </c>
      <c r="AM349">
        <v>0.5</v>
      </c>
    </row>
    <row r="350" spans="1:39" x14ac:dyDescent="0.35">
      <c r="A350" s="6" t="e">
        <f>IF('Coach Card'!$T$5="",IF($B$1="Solo",IF(L349="","",L349),IF($B$1="MSolo",IF(O349="","",O349),IF($B$1="Duet",IF(R349="","",R349),IF($B$1="Mixed",IF(U349="","",U349),IF(X349="","",X349))))),IF($B$1="Solo",IF(L849="","",L849),IF($B$1="MSolo",IF(L849="","",L849),IF($B$1="Duet",IF(O849="","",O849),IF($B$1="Mixed",IF(R849="","",R849),IF(U849="","",U849))))))</f>
        <v>#N/A</v>
      </c>
      <c r="B350" s="3" t="e">
        <f>IF('Coach Card'!$T$5="",IF($B$1="Solo",IF(M349="","",M349),IF($B$1="MSolo",IF(P349="","",P349),IF($B$1="Duet",IF(S349="","",S349),IF($B$1="Mixed",IF(V349="","",V349),IF(Y349="","",Y349))))),IF($B$1="Solo",IF(M849="","",M849),IF($B$1="MSolo",IF(M849="","",M849),IF($B$1="Duet",IF(P849="","",P849),IF($B$1="Mixed",IF(S849="","",S849),IF(V849="","",V849))))))</f>
        <v>#N/A</v>
      </c>
      <c r="C350" s="3" t="e">
        <f>IF('Coach Card'!$T$5="",IF($B$1="Solo",IF(N349="","",N349),IF($B$1="MSolo",IF(Q349="","",Q349),IF($B$1="Duet",IF(T349="","",T349),IF($B$1="Mixed",IF(W349="","",W349),IF(Z349="","",Z349))))),IF($B$1="Solo",IF(N849="","",N849),IF($B$1="MSolo",IF(N849="","",N849),IF($B$1="Duet",IF(Q849="","",Q849),IF($B$1="Mixed",IF(T849="","",T849),IF(W849="","",W849))))))</f>
        <v>#N/A</v>
      </c>
      <c r="D350" s="3" t="e">
        <f>IF('Coach Card'!$T$5="",IF($D$1="Team",IF(AG349="","",AG349),""),IF($D$1="Team",IF(AD849="","",AD849),""))</f>
        <v>#N/A</v>
      </c>
      <c r="E350" s="3" t="e">
        <f>IF('Coach Card'!$T$5="",IF($D$1="Team",IF(AH349="","",AH349),""),IF($D$1="Team",IF(AE849="","",AE849),""))</f>
        <v>#N/A</v>
      </c>
      <c r="X350" s="1" t="s">
        <v>1766</v>
      </c>
      <c r="Y350" t="s">
        <v>2042</v>
      </c>
      <c r="Z350" s="3">
        <v>4.4999999999999998E-2</v>
      </c>
      <c r="AK350" t="s">
        <v>2038</v>
      </c>
      <c r="AL350" t="s">
        <v>54</v>
      </c>
      <c r="AM350">
        <v>0.5</v>
      </c>
    </row>
    <row r="351" spans="1:39" x14ac:dyDescent="0.35">
      <c r="A351" s="6" t="e">
        <f>IF('Coach Card'!$T$5="",IF($B$1="Solo",IF(L350="","",L350),IF($B$1="MSolo",IF(O350="","",O350),IF($B$1="Duet",IF(R350="","",R350),IF($B$1="Mixed",IF(U350="","",U350),IF(X350="","",X350))))),IF($B$1="Solo",IF(L850="","",L850),IF($B$1="MSolo",IF(L850="","",L850),IF($B$1="Duet",IF(O850="","",O850),IF($B$1="Mixed",IF(R850="","",R850),IF(U850="","",U850))))))</f>
        <v>#N/A</v>
      </c>
      <c r="B351" s="3" t="e">
        <f>IF('Coach Card'!$T$5="",IF($B$1="Solo",IF(M350="","",M350),IF($B$1="MSolo",IF(P350="","",P350),IF($B$1="Duet",IF(S350="","",S350),IF($B$1="Mixed",IF(V350="","",V350),IF(Y350="","",Y350))))),IF($B$1="Solo",IF(M850="","",M850),IF($B$1="MSolo",IF(M850="","",M850),IF($B$1="Duet",IF(P850="","",P850),IF($B$1="Mixed",IF(S850="","",S850),IF(V850="","",V850))))))</f>
        <v>#N/A</v>
      </c>
      <c r="C351" s="3" t="e">
        <f>IF('Coach Card'!$T$5="",IF($B$1="Solo",IF(N350="","",N350),IF($B$1="MSolo",IF(Q350="","",Q350),IF($B$1="Duet",IF(T350="","",T350),IF($B$1="Mixed",IF(W350="","",W350),IF(Z350="","",Z350))))),IF($B$1="Solo",IF(N850="","",N850),IF($B$1="MSolo",IF(N850="","",N850),IF($B$1="Duet",IF(Q850="","",Q850),IF($B$1="Mixed",IF(T850="","",T850),IF(W850="","",W850))))))</f>
        <v>#N/A</v>
      </c>
      <c r="D351" s="3" t="e">
        <f>IF('Coach Card'!$T$5="",IF($D$1="Team",IF(AG350="","",AG350),""),IF($D$1="Team",IF(AD850="","",AD850),""))</f>
        <v>#N/A</v>
      </c>
      <c r="E351" s="3" t="e">
        <f>IF('Coach Card'!$T$5="",IF($D$1="Team",IF(AH350="","",AH350),""),IF($D$1="Team",IF(AE850="","",AE850),""))</f>
        <v>#N/A</v>
      </c>
      <c r="X351" s="1" t="s">
        <v>1766</v>
      </c>
      <c r="Y351" t="s">
        <v>2043</v>
      </c>
      <c r="Z351" s="3">
        <v>0.12</v>
      </c>
      <c r="AK351" t="s">
        <v>2039</v>
      </c>
      <c r="AL351" t="s">
        <v>55</v>
      </c>
      <c r="AM351">
        <v>0.5</v>
      </c>
    </row>
    <row r="352" spans="1:39" x14ac:dyDescent="0.35">
      <c r="A352" s="6" t="e">
        <f>IF('Coach Card'!$T$5="",IF($B$1="Solo",IF(L351="","",L351),IF($B$1="MSolo",IF(O351="","",O351),IF($B$1="Duet",IF(R351="","",R351),IF($B$1="Mixed",IF(U351="","",U351),IF(X351="","",X351))))),IF($B$1="Solo",IF(L851="","",L851),IF($B$1="MSolo",IF(L851="","",L851),IF($B$1="Duet",IF(O851="","",O851),IF($B$1="Mixed",IF(R851="","",R851),IF(U851="","",U851))))))</f>
        <v>#N/A</v>
      </c>
      <c r="B352" s="3" t="e">
        <f>IF('Coach Card'!$T$5="",IF($B$1="Solo",IF(M351="","",M351),IF($B$1="MSolo",IF(P351="","",P351),IF($B$1="Duet",IF(S351="","",S351),IF($B$1="Mixed",IF(V351="","",V351),IF(Y351="","",Y351))))),IF($B$1="Solo",IF(M851="","",M851),IF($B$1="MSolo",IF(M851="","",M851),IF($B$1="Duet",IF(P851="","",P851),IF($B$1="Mixed",IF(S851="","",S851),IF(V851="","",V851))))))</f>
        <v>#N/A</v>
      </c>
      <c r="C352" s="3" t="e">
        <f>IF('Coach Card'!$T$5="",IF($B$1="Solo",IF(N351="","",N351),IF($B$1="MSolo",IF(Q351="","",Q351),IF($B$1="Duet",IF(T351="","",T351),IF($B$1="Mixed",IF(W351="","",W351),IF(Z351="","",Z351))))),IF($B$1="Solo",IF(N851="","",N851),IF($B$1="MSolo",IF(N851="","",N851),IF($B$1="Duet",IF(Q851="","",Q851),IF($B$1="Mixed",IF(T851="","",T851),IF(W851="","",W851))))))</f>
        <v>#N/A</v>
      </c>
      <c r="D352" s="3" t="e">
        <f>IF('Coach Card'!$T$5="",IF($D$1="Team",IF(AG351="","",AG351),""),IF($D$1="Team",IF(AD851="","",AD851),""))</f>
        <v>#N/A</v>
      </c>
      <c r="E352" s="3" t="e">
        <f>IF('Coach Card'!$T$5="",IF($D$1="Team",IF(AH351="","",AH351),""),IF($D$1="Team",IF(AE851="","",AE851),""))</f>
        <v>#N/A</v>
      </c>
      <c r="X352" s="1" t="s">
        <v>1766</v>
      </c>
      <c r="Y352" t="s">
        <v>2044</v>
      </c>
      <c r="Z352" s="3">
        <v>0.13500000000000001</v>
      </c>
      <c r="AK352" t="s">
        <v>2462</v>
      </c>
      <c r="AL352" t="s">
        <v>2452</v>
      </c>
      <c r="AM352">
        <v>0.5</v>
      </c>
    </row>
    <row r="353" spans="1:39" x14ac:dyDescent="0.35">
      <c r="A353" s="6" t="e">
        <f>IF('Coach Card'!$T$5="",IF($B$1="Solo",IF(L352="","",L352),IF($B$1="MSolo",IF(O352="","",O352),IF($B$1="Duet",IF(R352="","",R352),IF($B$1="Mixed",IF(U352="","",U352),IF(X352="","",X352))))),IF($B$1="Solo",IF(L852="","",L852),IF($B$1="MSolo",IF(L852="","",L852),IF($B$1="Duet",IF(O852="","",O852),IF($B$1="Mixed",IF(R852="","",R852),IF(U852="","",U852))))))</f>
        <v>#N/A</v>
      </c>
      <c r="B353" s="3" t="e">
        <f>IF('Coach Card'!$T$5="",IF($B$1="Solo",IF(M352="","",M352),IF($B$1="MSolo",IF(P352="","",P352),IF($B$1="Duet",IF(S352="","",S352),IF($B$1="Mixed",IF(V352="","",V352),IF(Y352="","",Y352))))),IF($B$1="Solo",IF(M852="","",M852),IF($B$1="MSolo",IF(M852="","",M852),IF($B$1="Duet",IF(P852="","",P852),IF($B$1="Mixed",IF(S852="","",S852),IF(V852="","",V852))))))</f>
        <v>#N/A</v>
      </c>
      <c r="C353" s="3" t="e">
        <f>IF('Coach Card'!$T$5="",IF($B$1="Solo",IF(N352="","",N352),IF($B$1="MSolo",IF(Q352="","",Q352),IF($B$1="Duet",IF(T352="","",T352),IF($B$1="Mixed",IF(W352="","",W352),IF(Z352="","",Z352))))),IF($B$1="Solo",IF(N852="","",N852),IF($B$1="MSolo",IF(N852="","",N852),IF($B$1="Duet",IF(Q852="","",Q852),IF($B$1="Mixed",IF(T852="","",T852),IF(W852="","",W852))))))</f>
        <v>#N/A</v>
      </c>
      <c r="D353" s="3" t="e">
        <f>IF('Coach Card'!$T$5="",IF($D$1="Team",IF(AG352="","",AG352),""),IF($D$1="Team",IF(AD852="","",AD852),""))</f>
        <v>#N/A</v>
      </c>
      <c r="E353" s="3" t="e">
        <f>IF('Coach Card'!$T$5="",IF($D$1="Team",IF(AH352="","",AH352),""),IF($D$1="Team",IF(AE852="","",AE852),""))</f>
        <v>#N/A</v>
      </c>
      <c r="X353" s="1" t="s">
        <v>1766</v>
      </c>
      <c r="Y353" t="s">
        <v>2045</v>
      </c>
      <c r="Z353" s="3">
        <v>0.12</v>
      </c>
      <c r="AK353" t="s">
        <v>2040</v>
      </c>
      <c r="AL353" t="s">
        <v>1796</v>
      </c>
      <c r="AM353">
        <v>0.5</v>
      </c>
    </row>
    <row r="354" spans="1:39" x14ac:dyDescent="0.35">
      <c r="A354" s="6" t="e">
        <f>IF('Coach Card'!$T$5="",IF($B$1="Solo",IF(L353="","",L353),IF($B$1="MSolo",IF(O353="","",O353),IF($B$1="Duet",IF(R353="","",R353),IF($B$1="Mixed",IF(U353="","",U353),IF(X353="","",X353))))),IF($B$1="Solo",IF(L853="","",L853),IF($B$1="MSolo",IF(L853="","",L853),IF($B$1="Duet",IF(O853="","",O853),IF($B$1="Mixed",IF(R853="","",R853),IF(U853="","",U853))))))</f>
        <v>#N/A</v>
      </c>
      <c r="B354" s="3" t="e">
        <f>IF('Coach Card'!$T$5="",IF($B$1="Solo",IF(M353="","",M353),IF($B$1="MSolo",IF(P353="","",P353),IF($B$1="Duet",IF(S353="","",S353),IF($B$1="Mixed",IF(V353="","",V353),IF(Y353="","",Y353))))),IF($B$1="Solo",IF(M853="","",M853),IF($B$1="MSolo",IF(M853="","",M853),IF($B$1="Duet",IF(P853="","",P853),IF($B$1="Mixed",IF(S853="","",S853),IF(V853="","",V853))))))</f>
        <v>#N/A</v>
      </c>
      <c r="C354" s="3" t="e">
        <f>IF('Coach Card'!$T$5="",IF($B$1="Solo",IF(N353="","",N353),IF($B$1="MSolo",IF(Q353="","",Q353),IF($B$1="Duet",IF(T353="","",T353),IF($B$1="Mixed",IF(W353="","",W353),IF(Z353="","",Z353))))),IF($B$1="Solo",IF(N853="","",N853),IF($B$1="MSolo",IF(N853="","",N853),IF($B$1="Duet",IF(Q853="","",Q853),IF($B$1="Mixed",IF(T853="","",T853),IF(W853="","",W853))))))</f>
        <v>#N/A</v>
      </c>
      <c r="D354" s="3" t="e">
        <f>IF('Coach Card'!$T$5="",IF($D$1="Team",IF(AG353="","",AG353),""),IF($D$1="Team",IF(AD853="","",AD853),""))</f>
        <v>#N/A</v>
      </c>
      <c r="E354" s="3" t="e">
        <f>IF('Coach Card'!$T$5="",IF($D$1="Team",IF(AH353="","",AH353),""),IF($D$1="Team",IF(AE853="","",AE853),""))</f>
        <v>#N/A</v>
      </c>
      <c r="X354" s="1" t="s">
        <v>1766</v>
      </c>
      <c r="Y354" t="s">
        <v>2046</v>
      </c>
      <c r="Z354" s="3">
        <v>0.28499999999999998</v>
      </c>
      <c r="AK354" t="s">
        <v>2041</v>
      </c>
      <c r="AL354" t="s">
        <v>1797</v>
      </c>
      <c r="AM354">
        <v>0.5</v>
      </c>
    </row>
    <row r="355" spans="1:39" x14ac:dyDescent="0.35">
      <c r="A355" s="6" t="e">
        <f>IF('Coach Card'!$T$5="",IF($B$1="Solo",IF(L354="","",L354),IF($B$1="MSolo",IF(O354="","",O354),IF($B$1="Duet",IF(R354="","",R354),IF($B$1="Mixed",IF(U354="","",U354),IF(X354="","",X354))))),IF($B$1="Solo",IF(L854="","",L854),IF($B$1="MSolo",IF(L854="","",L854),IF($B$1="Duet",IF(O854="","",O854),IF($B$1="Mixed",IF(R854="","",R854),IF(U854="","",U854))))))</f>
        <v>#N/A</v>
      </c>
      <c r="B355" s="3" t="e">
        <f>IF('Coach Card'!$T$5="",IF($B$1="Solo",IF(M354="","",M354),IF($B$1="MSolo",IF(P354="","",P354),IF($B$1="Duet",IF(S354="","",S354),IF($B$1="Mixed",IF(V354="","",V354),IF(Y354="","",Y354))))),IF($B$1="Solo",IF(M854="","",M854),IF($B$1="MSolo",IF(M854="","",M854),IF($B$1="Duet",IF(P854="","",P854),IF($B$1="Mixed",IF(S854="","",S854),IF(V854="","",V854))))))</f>
        <v>#N/A</v>
      </c>
      <c r="C355" s="3" t="e">
        <f>IF('Coach Card'!$T$5="",IF($B$1="Solo",IF(N354="","",N354),IF($B$1="MSolo",IF(Q354="","",Q354),IF($B$1="Duet",IF(T354="","",T354),IF($B$1="Mixed",IF(W354="","",W354),IF(Z354="","",Z354))))),IF($B$1="Solo",IF(N854="","",N854),IF($B$1="MSolo",IF(N854="","",N854),IF($B$1="Duet",IF(Q854="","",Q854),IF($B$1="Mixed",IF(T854="","",T854),IF(W854="","",W854))))))</f>
        <v>#N/A</v>
      </c>
      <c r="D355" s="3" t="e">
        <f>IF('Coach Card'!$T$5="",IF($D$1="Team",IF(AG354="","",AG354),""),IF($D$1="Team",IF(AD854="","",AD854),""))</f>
        <v>#N/A</v>
      </c>
      <c r="E355" s="3" t="e">
        <f>IF('Coach Card'!$T$5="",IF($D$1="Team",IF(AH354="","",AH354),""),IF($D$1="Team",IF(AE854="","",AE854),""))</f>
        <v>#N/A</v>
      </c>
      <c r="X355" s="1" t="s">
        <v>1766</v>
      </c>
      <c r="Y355" t="s">
        <v>2047</v>
      </c>
      <c r="Z355" s="3">
        <v>0.3</v>
      </c>
      <c r="AK355" t="s">
        <v>2463</v>
      </c>
      <c r="AL355" t="s">
        <v>2453</v>
      </c>
      <c r="AM355">
        <v>0.5</v>
      </c>
    </row>
    <row r="356" spans="1:39" x14ac:dyDescent="0.35">
      <c r="A356" s="6" t="e">
        <f>IF('Coach Card'!$T$5="",IF($B$1="Solo",IF(L355="","",L355),IF($B$1="MSolo",IF(O355="","",O355),IF($B$1="Duet",IF(R355="","",R355),IF($B$1="Mixed",IF(U355="","",U355),IF(X355="","",X355))))),IF($B$1="Solo",IF(L855="","",L855),IF($B$1="MSolo",IF(L855="","",L855),IF($B$1="Duet",IF(O855="","",O855),IF($B$1="Mixed",IF(R855="","",R855),IF(U855="","",U855))))))</f>
        <v>#N/A</v>
      </c>
      <c r="B356" s="3" t="e">
        <f>IF('Coach Card'!$T$5="",IF($B$1="Solo",IF(M355="","",M355),IF($B$1="MSolo",IF(P355="","",P355),IF($B$1="Duet",IF(S355="","",S355),IF($B$1="Mixed",IF(V355="","",V355),IF(Y355="","",Y355))))),IF($B$1="Solo",IF(M855="","",M855),IF($B$1="MSolo",IF(M855="","",M855),IF($B$1="Duet",IF(P855="","",P855),IF($B$1="Mixed",IF(S855="","",S855),IF(V855="","",V855))))))</f>
        <v>#N/A</v>
      </c>
      <c r="C356" s="3" t="e">
        <f>IF('Coach Card'!$T$5="",IF($B$1="Solo",IF(N355="","",N355),IF($B$1="MSolo",IF(Q355="","",Q355),IF($B$1="Duet",IF(T355="","",T355),IF($B$1="Mixed",IF(W355="","",W355),IF(Z355="","",Z355))))),IF($B$1="Solo",IF(N855="","",N855),IF($B$1="MSolo",IF(N855="","",N855),IF($B$1="Duet",IF(Q855="","",Q855),IF($B$1="Mixed",IF(T855="","",T855),IF(W855="","",W855))))))</f>
        <v>#N/A</v>
      </c>
      <c r="D356" s="3" t="e">
        <f>IF('Coach Card'!$T$5="",IF($D$1="Team",IF(AG355="","",AG355),""),IF($D$1="Team",IF(AD855="","",AD855),""))</f>
        <v>#N/A</v>
      </c>
      <c r="E356" s="3" t="e">
        <f>IF('Coach Card'!$T$5="",IF($D$1="Team",IF(AH355="","",AH355),""),IF($D$1="Team",IF(AE855="","",AE855),""))</f>
        <v>#N/A</v>
      </c>
      <c r="X356" s="1" t="s">
        <v>1766</v>
      </c>
      <c r="Y356" t="s">
        <v>2048</v>
      </c>
      <c r="Z356" s="3">
        <v>0.27</v>
      </c>
      <c r="AK356" t="s">
        <v>2042</v>
      </c>
      <c r="AL356" t="s">
        <v>1633</v>
      </c>
      <c r="AM356">
        <v>0.5</v>
      </c>
    </row>
    <row r="357" spans="1:39" x14ac:dyDescent="0.35">
      <c r="A357" s="6" t="e">
        <f>IF('Coach Card'!$T$5="",IF($B$1="Solo",IF(L356="","",L356),IF($B$1="MSolo",IF(O356="","",O356),IF($B$1="Duet",IF(R356="","",R356),IF($B$1="Mixed",IF(U356="","",U356),IF(X356="","",X356))))),IF($B$1="Solo",IF(L856="","",L856),IF($B$1="MSolo",IF(L856="","",L856),IF($B$1="Duet",IF(O856="","",O856),IF($B$1="Mixed",IF(R856="","",R856),IF(U856="","",U856))))))</f>
        <v>#N/A</v>
      </c>
      <c r="B357" s="3" t="e">
        <f>IF('Coach Card'!$T$5="",IF($B$1="Solo",IF(M356="","",M356),IF($B$1="MSolo",IF(P356="","",P356),IF($B$1="Duet",IF(S356="","",S356),IF($B$1="Mixed",IF(V356="","",V356),IF(Y356="","",Y356))))),IF($B$1="Solo",IF(M856="","",M856),IF($B$1="MSolo",IF(M856="","",M856),IF($B$1="Duet",IF(P856="","",P856),IF($B$1="Mixed",IF(S856="","",S856),IF(V856="","",V856))))))</f>
        <v>#N/A</v>
      </c>
      <c r="C357" s="3" t="e">
        <f>IF('Coach Card'!$T$5="",IF($B$1="Solo",IF(N356="","",N356),IF($B$1="MSolo",IF(Q356="","",Q356),IF($B$1="Duet",IF(T356="","",T356),IF($B$1="Mixed",IF(W356="","",W356),IF(Z356="","",Z356))))),IF($B$1="Solo",IF(N856="","",N856),IF($B$1="MSolo",IF(N856="","",N856),IF($B$1="Duet",IF(Q856="","",Q856),IF($B$1="Mixed",IF(T856="","",T856),IF(W856="","",W856))))))</f>
        <v>#N/A</v>
      </c>
      <c r="D357" s="3" t="e">
        <f>IF('Coach Card'!$T$5="",IF($D$1="Team",IF(AG356="","",AG356),""),IF($D$1="Team",IF(AD856="","",AD856),""))</f>
        <v>#N/A</v>
      </c>
      <c r="E357" s="3" t="e">
        <f>IF('Coach Card'!$T$5="",IF($D$1="Team",IF(AH356="","",AH356),""),IF($D$1="Team",IF(AE856="","",AE856),""))</f>
        <v>#N/A</v>
      </c>
      <c r="X357" s="1" t="s">
        <v>1766</v>
      </c>
      <c r="Y357" t="s">
        <v>2049</v>
      </c>
      <c r="Z357" s="3">
        <v>0.58499999999999996</v>
      </c>
      <c r="AK357" t="s">
        <v>2043</v>
      </c>
      <c r="AL357" t="s">
        <v>1634</v>
      </c>
      <c r="AM357">
        <v>0.5</v>
      </c>
    </row>
    <row r="358" spans="1:39" x14ac:dyDescent="0.35">
      <c r="A358" s="6" t="e">
        <f>IF('Coach Card'!$T$5="",IF($B$1="Solo",IF(L357="","",L357),IF($B$1="MSolo",IF(O357="","",O357),IF($B$1="Duet",IF(R357="","",R357),IF($B$1="Mixed",IF(U357="","",U357),IF(X357="","",X357))))),IF($B$1="Solo",IF(L857="","",L857),IF($B$1="MSolo",IF(L857="","",L857),IF($B$1="Duet",IF(O857="","",O857),IF($B$1="Mixed",IF(R857="","",R857),IF(U857="","",U857))))))</f>
        <v>#N/A</v>
      </c>
      <c r="B358" s="3" t="e">
        <f>IF('Coach Card'!$T$5="",IF($B$1="Solo",IF(M357="","",M357),IF($B$1="MSolo",IF(P357="","",P357),IF($B$1="Duet",IF(S357="","",S357),IF($B$1="Mixed",IF(V357="","",V357),IF(Y357="","",Y357))))),IF($B$1="Solo",IF(M857="","",M857),IF($B$1="MSolo",IF(M857="","",M857),IF($B$1="Duet",IF(P857="","",P857),IF($B$1="Mixed",IF(S857="","",S857),IF(V857="","",V857))))))</f>
        <v>#N/A</v>
      </c>
      <c r="C358" s="3" t="e">
        <f>IF('Coach Card'!$T$5="",IF($B$1="Solo",IF(N357="","",N357),IF($B$1="MSolo",IF(Q357="","",Q357),IF($B$1="Duet",IF(T357="","",T357),IF($B$1="Mixed",IF(W357="","",W357),IF(Z357="","",Z357))))),IF($B$1="Solo",IF(N857="","",N857),IF($B$1="MSolo",IF(N857="","",N857),IF($B$1="Duet",IF(Q857="","",Q857),IF($B$1="Mixed",IF(T857="","",T857),IF(W857="","",W857))))))</f>
        <v>#N/A</v>
      </c>
      <c r="D358" s="3" t="e">
        <f>IF('Coach Card'!$T$5="",IF($D$1="Team",IF(AG357="","",AG357),""),IF($D$1="Team",IF(AD857="","",AD857),""))</f>
        <v>#N/A</v>
      </c>
      <c r="E358" s="3" t="e">
        <f>IF('Coach Card'!$T$5="",IF($D$1="Team",IF(AH357="","",AH357),""),IF($D$1="Team",IF(AE857="","",AE857),""))</f>
        <v>#N/A</v>
      </c>
      <c r="X358" s="1" t="s">
        <v>1766</v>
      </c>
      <c r="Y358" t="s">
        <v>2050</v>
      </c>
      <c r="Z358" s="3">
        <v>0.6</v>
      </c>
      <c r="AK358" t="s">
        <v>2044</v>
      </c>
      <c r="AL358" t="s">
        <v>1635</v>
      </c>
      <c r="AM358">
        <v>0.5</v>
      </c>
    </row>
    <row r="359" spans="1:39" x14ac:dyDescent="0.35">
      <c r="A359" s="6" t="e">
        <f>IF('Coach Card'!$T$5="",IF($B$1="Solo",IF(L358="","",L358),IF($B$1="MSolo",IF(O358="","",O358),IF($B$1="Duet",IF(R358="","",R358),IF($B$1="Mixed",IF(U358="","",U358),IF(X358="","",X358))))),IF($B$1="Solo",IF(L858="","",L858),IF($B$1="MSolo",IF(L858="","",L858),IF($B$1="Duet",IF(O858="","",O858),IF($B$1="Mixed",IF(R858="","",R858),IF(U858="","",U858))))))</f>
        <v>#N/A</v>
      </c>
      <c r="B359" s="3" t="e">
        <f>IF('Coach Card'!$T$5="",IF($B$1="Solo",IF(M358="","",M358),IF($B$1="MSolo",IF(P358="","",P358),IF($B$1="Duet",IF(S358="","",S358),IF($B$1="Mixed",IF(V358="","",V358),IF(Y358="","",Y358))))),IF($B$1="Solo",IF(M858="","",M858),IF($B$1="MSolo",IF(M858="","",M858),IF($B$1="Duet",IF(P858="","",P858),IF($B$1="Mixed",IF(S858="","",S858),IF(V858="","",V858))))))</f>
        <v>#N/A</v>
      </c>
      <c r="C359" s="3" t="e">
        <f>IF('Coach Card'!$T$5="",IF($B$1="Solo",IF(N358="","",N358),IF($B$1="MSolo",IF(Q358="","",Q358),IF($B$1="Duet",IF(T358="","",T358),IF($B$1="Mixed",IF(W358="","",W358),IF(Z358="","",Z358))))),IF($B$1="Solo",IF(N858="","",N858),IF($B$1="MSolo",IF(N858="","",N858),IF($B$1="Duet",IF(Q858="","",Q858),IF($B$1="Mixed",IF(T858="","",T858),IF(W858="","",W858))))))</f>
        <v>#N/A</v>
      </c>
      <c r="D359" s="3" t="e">
        <f>IF('Coach Card'!$T$5="",IF($D$1="Team",IF(AG358="","",AG358),""),IF($D$1="Team",IF(AD858="","",AD858),""))</f>
        <v>#N/A</v>
      </c>
      <c r="E359" s="3" t="e">
        <f>IF('Coach Card'!$T$5="",IF($D$1="Team",IF(AH358="","",AH358),""),IF($D$1="Team",IF(AE858="","",AE858),""))</f>
        <v>#N/A</v>
      </c>
      <c r="X359" s="1" t="s">
        <v>1766</v>
      </c>
      <c r="Y359" t="s">
        <v>2051</v>
      </c>
      <c r="Z359" s="3">
        <v>0.42</v>
      </c>
      <c r="AK359" t="s">
        <v>2045</v>
      </c>
      <c r="AL359" t="s">
        <v>1636</v>
      </c>
      <c r="AM359">
        <v>0.5</v>
      </c>
    </row>
    <row r="360" spans="1:39" x14ac:dyDescent="0.35">
      <c r="A360" s="6" t="e">
        <f>IF('Coach Card'!$T$5="",IF($B$1="Solo",IF(L359="","",L359),IF($B$1="MSolo",IF(O359="","",O359),IF($B$1="Duet",IF(R359="","",R359),IF($B$1="Mixed",IF(U359="","",U359),IF(X359="","",X359))))),IF($B$1="Solo",IF(L859="","",L859),IF($B$1="MSolo",IF(L859="","",L859),IF($B$1="Duet",IF(O859="","",O859),IF($B$1="Mixed",IF(R859="","",R859),IF(U859="","",U859))))))</f>
        <v>#N/A</v>
      </c>
      <c r="B360" s="3" t="e">
        <f>IF('Coach Card'!$T$5="",IF($B$1="Solo",IF(M359="","",M359),IF($B$1="MSolo",IF(P359="","",P359),IF($B$1="Duet",IF(S359="","",S359),IF($B$1="Mixed",IF(V359="","",V359),IF(Y359="","",Y359))))),IF($B$1="Solo",IF(M859="","",M859),IF($B$1="MSolo",IF(M859="","",M859),IF($B$1="Duet",IF(P859="","",P859),IF($B$1="Mixed",IF(S859="","",S859),IF(V859="","",V859))))))</f>
        <v>#N/A</v>
      </c>
      <c r="C360" s="3" t="e">
        <f>IF('Coach Card'!$T$5="",IF($B$1="Solo",IF(N359="","",N359),IF($B$1="MSolo",IF(Q359="","",Q359),IF($B$1="Duet",IF(T359="","",T359),IF($B$1="Mixed",IF(W359="","",W359),IF(Z359="","",Z359))))),IF($B$1="Solo",IF(N859="","",N859),IF($B$1="MSolo",IF(N859="","",N859),IF($B$1="Duet",IF(Q859="","",Q859),IF($B$1="Mixed",IF(T859="","",T859),IF(W859="","",W859))))))</f>
        <v>#N/A</v>
      </c>
      <c r="D360" s="3" t="e">
        <f>IF('Coach Card'!$T$5="",IF($D$1="Team",IF(AG359="","",AG359),""),IF($D$1="Team",IF(AD859="","",AD859),""))</f>
        <v>#N/A</v>
      </c>
      <c r="E360" s="3" t="e">
        <f>IF('Coach Card'!$T$5="",IF($D$1="Team",IF(AH359="","",AH359),""),IF($D$1="Team",IF(AE859="","",AE859),""))</f>
        <v>#N/A</v>
      </c>
      <c r="X360" s="1" t="s">
        <v>1766</v>
      </c>
      <c r="Y360" t="s">
        <v>2052</v>
      </c>
      <c r="Z360" s="3">
        <v>0.88500000000000001</v>
      </c>
      <c r="AK360" t="s">
        <v>2046</v>
      </c>
      <c r="AL360" t="s">
        <v>1637</v>
      </c>
      <c r="AM360">
        <v>0.5</v>
      </c>
    </row>
    <row r="361" spans="1:39" x14ac:dyDescent="0.35">
      <c r="A361" s="6" t="e">
        <f>IF('Coach Card'!$T$5="",IF($B$1="Solo",IF(L360="","",L360),IF($B$1="MSolo",IF(O360="","",O360),IF($B$1="Duet",IF(R360="","",R360),IF($B$1="Mixed",IF(U360="","",U360),IF(X360="","",X360))))),IF($B$1="Solo",IF(L860="","",L860),IF($B$1="MSolo",IF(L860="","",L860),IF($B$1="Duet",IF(O860="","",O860),IF($B$1="Mixed",IF(R860="","",R860),IF(U860="","",U860))))))</f>
        <v>#N/A</v>
      </c>
      <c r="B361" s="3" t="e">
        <f>IF('Coach Card'!$T$5="",IF($B$1="Solo",IF(M360="","",M360),IF($B$1="MSolo",IF(P360="","",P360),IF($B$1="Duet",IF(S360="","",S360),IF($B$1="Mixed",IF(V360="","",V360),IF(Y360="","",Y360))))),IF($B$1="Solo",IF(M860="","",M860),IF($B$1="MSolo",IF(M860="","",M860),IF($B$1="Duet",IF(P860="","",P860),IF($B$1="Mixed",IF(S860="","",S860),IF(V860="","",V860))))))</f>
        <v>#N/A</v>
      </c>
      <c r="C361" s="3" t="e">
        <f>IF('Coach Card'!$T$5="",IF($B$1="Solo",IF(N360="","",N360),IF($B$1="MSolo",IF(Q360="","",Q360),IF($B$1="Duet",IF(T360="","",T360),IF($B$1="Mixed",IF(W360="","",W360),IF(Z360="","",Z360))))),IF($B$1="Solo",IF(N860="","",N860),IF($B$1="MSolo",IF(N860="","",N860),IF($B$1="Duet",IF(Q860="","",Q860),IF($B$1="Mixed",IF(T860="","",T860),IF(W860="","",W860))))))</f>
        <v>#N/A</v>
      </c>
      <c r="D361" s="3" t="e">
        <f>IF('Coach Card'!$T$5="",IF($D$1="Team",IF(AG360="","",AG360),""),IF($D$1="Team",IF(AD860="","",AD860),""))</f>
        <v>#N/A</v>
      </c>
      <c r="E361" s="3" t="e">
        <f>IF('Coach Card'!$T$5="",IF($D$1="Team",IF(AH360="","",AH360),""),IF($D$1="Team",IF(AE860="","",AE860),""))</f>
        <v>#N/A</v>
      </c>
      <c r="X361" s="1" t="s">
        <v>1766</v>
      </c>
      <c r="Y361" t="s">
        <v>2053</v>
      </c>
      <c r="Z361" s="3">
        <v>0.89999999999999991</v>
      </c>
      <c r="AK361" t="s">
        <v>2047</v>
      </c>
      <c r="AL361" t="s">
        <v>1638</v>
      </c>
      <c r="AM361">
        <v>0.5</v>
      </c>
    </row>
    <row r="362" spans="1:39" x14ac:dyDescent="0.35">
      <c r="A362" s="6" t="e">
        <f>IF('Coach Card'!$T$5="",IF($B$1="Solo",IF(L361="","",L361),IF($B$1="MSolo",IF(O361="","",O361),IF($B$1="Duet",IF(R361="","",R361),IF($B$1="Mixed",IF(U361="","",U361),IF(X361="","",X361))))),IF($B$1="Solo",IF(L861="","",L861),IF($B$1="MSolo",IF(L861="","",L861),IF($B$1="Duet",IF(O861="","",O861),IF($B$1="Mixed",IF(R861="","",R861),IF(U861="","",U861))))))</f>
        <v>#N/A</v>
      </c>
      <c r="B362" s="3" t="e">
        <f>IF('Coach Card'!$T$5="",IF($B$1="Solo",IF(M361="","",M361),IF($B$1="MSolo",IF(P361="","",P361),IF($B$1="Duet",IF(S361="","",S361),IF($B$1="Mixed",IF(V361="","",V361),IF(Y361="","",Y361))))),IF($B$1="Solo",IF(M861="","",M861),IF($B$1="MSolo",IF(M861="","",M861),IF($B$1="Duet",IF(P861="","",P861),IF($B$1="Mixed",IF(S861="","",S861),IF(V861="","",V861))))))</f>
        <v>#N/A</v>
      </c>
      <c r="C362" s="3" t="e">
        <f>IF('Coach Card'!$T$5="",IF($B$1="Solo",IF(N361="","",N361),IF($B$1="MSolo",IF(Q361="","",Q361),IF($B$1="Duet",IF(T361="","",T361),IF($B$1="Mixed",IF(W361="","",W361),IF(Z361="","",Z361))))),IF($B$1="Solo",IF(N861="","",N861),IF($B$1="MSolo",IF(N861="","",N861),IF($B$1="Duet",IF(Q861="","",Q861),IF($B$1="Mixed",IF(T861="","",T861),IF(W861="","",W861))))))</f>
        <v>#N/A</v>
      </c>
      <c r="D362" s="3" t="e">
        <f>IF('Coach Card'!$T$5="",IF($D$1="Team",IF(AG361="","",AG361),""),IF($D$1="Team",IF(AD861="","",AD861),""))</f>
        <v>#N/A</v>
      </c>
      <c r="E362" s="3" t="e">
        <f>IF('Coach Card'!$T$5="",IF($D$1="Team",IF(AH361="","",AH361),""),IF($D$1="Team",IF(AE861="","",AE861),""))</f>
        <v>#N/A</v>
      </c>
      <c r="X362" s="1" t="s">
        <v>1766</v>
      </c>
      <c r="Y362" t="s">
        <v>2054</v>
      </c>
      <c r="Z362" s="3">
        <v>0.56999999999999995</v>
      </c>
      <c r="AK362" t="s">
        <v>2048</v>
      </c>
      <c r="AL362" t="s">
        <v>1639</v>
      </c>
      <c r="AM362">
        <v>0.5</v>
      </c>
    </row>
    <row r="363" spans="1:39" x14ac:dyDescent="0.35">
      <c r="A363" s="6" t="e">
        <f>IF('Coach Card'!$T$5="",IF($B$1="Solo",IF(L362="","",L362),IF($B$1="MSolo",IF(O362="","",O362),IF($B$1="Duet",IF(R362="","",R362),IF($B$1="Mixed",IF(U362="","",U362),IF(X362="","",X362))))),IF($B$1="Solo",IF(L862="","",L862),IF($B$1="MSolo",IF(L862="","",L862),IF($B$1="Duet",IF(O862="","",O862),IF($B$1="Mixed",IF(R862="","",R862),IF(U862="","",U862))))))</f>
        <v>#N/A</v>
      </c>
      <c r="B363" s="3" t="e">
        <f>IF('Coach Card'!$T$5="",IF($B$1="Solo",IF(M362="","",M362),IF($B$1="MSolo",IF(P362="","",P362),IF($B$1="Duet",IF(S362="","",S362),IF($B$1="Mixed",IF(V362="","",V362),IF(Y362="","",Y362))))),IF($B$1="Solo",IF(M862="","",M862),IF($B$1="MSolo",IF(M862="","",M862),IF($B$1="Duet",IF(P862="","",P862),IF($B$1="Mixed",IF(S862="","",S862),IF(V862="","",V862))))))</f>
        <v>#N/A</v>
      </c>
      <c r="C363" s="3" t="e">
        <f>IF('Coach Card'!$T$5="",IF($B$1="Solo",IF(N362="","",N362),IF($B$1="MSolo",IF(Q362="","",Q362),IF($B$1="Duet",IF(T362="","",T362),IF($B$1="Mixed",IF(W362="","",W362),IF(Z362="","",Z362))))),IF($B$1="Solo",IF(N862="","",N862),IF($B$1="MSolo",IF(N862="","",N862),IF($B$1="Duet",IF(Q862="","",Q862),IF($B$1="Mixed",IF(T862="","",T862),IF(W862="","",W862))))))</f>
        <v>#N/A</v>
      </c>
      <c r="D363" s="3" t="e">
        <f>IF('Coach Card'!$T$5="",IF($D$1="Team",IF(AG362="","",AG362),""),IF($D$1="Team",IF(AD862="","",AD862),""))</f>
        <v>#N/A</v>
      </c>
      <c r="E363" s="3" t="e">
        <f>IF('Coach Card'!$T$5="",IF($D$1="Team",IF(AH362="","",AH362),""),IF($D$1="Team",IF(AE862="","",AE862),""))</f>
        <v>#N/A</v>
      </c>
      <c r="X363" s="1" t="s">
        <v>1766</v>
      </c>
      <c r="Y363" t="s">
        <v>2055</v>
      </c>
      <c r="Z363" s="3">
        <v>1.1850000000000001</v>
      </c>
      <c r="AK363" t="s">
        <v>2049</v>
      </c>
      <c r="AL363" t="s">
        <v>1640</v>
      </c>
      <c r="AM363">
        <v>0.5</v>
      </c>
    </row>
    <row r="364" spans="1:39" x14ac:dyDescent="0.35">
      <c r="A364" s="6" t="e">
        <f>IF('Coach Card'!$T$5="",IF($B$1="Solo",IF(L363="","",L363),IF($B$1="MSolo",IF(O363="","",O363),IF($B$1="Duet",IF(R363="","",R363),IF($B$1="Mixed",IF(U363="","",U363),IF(X363="","",X363))))),IF($B$1="Solo",IF(L863="","",L863),IF($B$1="MSolo",IF(L863="","",L863),IF($B$1="Duet",IF(O863="","",O863),IF($B$1="Mixed",IF(R863="","",R863),IF(U863="","",U863))))))</f>
        <v>#N/A</v>
      </c>
      <c r="B364" s="3" t="e">
        <f>IF('Coach Card'!$T$5="",IF($B$1="Solo",IF(M363="","",M363),IF($B$1="MSolo",IF(P363="","",P363),IF($B$1="Duet",IF(S363="","",S363),IF($B$1="Mixed",IF(V363="","",V363),IF(Y363="","",Y363))))),IF($B$1="Solo",IF(M863="","",M863),IF($B$1="MSolo",IF(M863="","",M863),IF($B$1="Duet",IF(P863="","",P863),IF($B$1="Mixed",IF(S863="","",S863),IF(V863="","",V863))))))</f>
        <v>#N/A</v>
      </c>
      <c r="C364" s="3" t="e">
        <f>IF('Coach Card'!$T$5="",IF($B$1="Solo",IF(N363="","",N363),IF($B$1="MSolo",IF(Q363="","",Q363),IF($B$1="Duet",IF(T363="","",T363),IF($B$1="Mixed",IF(W363="","",W363),IF(Z363="","",Z363))))),IF($B$1="Solo",IF(N863="","",N863),IF($B$1="MSolo",IF(N863="","",N863),IF($B$1="Duet",IF(Q863="","",Q863),IF($B$1="Mixed",IF(T863="","",T863),IF(W863="","",W863))))))</f>
        <v>#N/A</v>
      </c>
      <c r="D364" s="3" t="e">
        <f>IF('Coach Card'!$T$5="",IF($D$1="Team",IF(AG363="","",AG363),""),IF($D$1="Team",IF(AD863="","",AD863),""))</f>
        <v>#N/A</v>
      </c>
      <c r="E364" s="3" t="e">
        <f>IF('Coach Card'!$T$5="",IF($D$1="Team",IF(AH363="","",AH363),""),IF($D$1="Team",IF(AE863="","",AE863),""))</f>
        <v>#N/A</v>
      </c>
      <c r="X364" s="1" t="s">
        <v>1766</v>
      </c>
      <c r="Y364" t="s">
        <v>2056</v>
      </c>
      <c r="Z364" s="3">
        <v>1.2</v>
      </c>
      <c r="AK364" t="s">
        <v>2050</v>
      </c>
      <c r="AL364" t="s">
        <v>1641</v>
      </c>
      <c r="AM364">
        <v>0.5</v>
      </c>
    </row>
    <row r="365" spans="1:39" x14ac:dyDescent="0.35">
      <c r="A365" s="6" t="e">
        <f>IF('Coach Card'!$T$5="",IF($B$1="Solo",IF(L364="","",L364),IF($B$1="MSolo",IF(O364="","",O364),IF($B$1="Duet",IF(R364="","",R364),IF($B$1="Mixed",IF(U364="","",U364),IF(X364="","",X364))))),IF($B$1="Solo",IF(L864="","",L864),IF($B$1="MSolo",IF(L864="","",L864),IF($B$1="Duet",IF(O864="","",O864),IF($B$1="Mixed",IF(R864="","",R864),IF(U864="","",U864))))))</f>
        <v>#N/A</v>
      </c>
      <c r="B365" s="3" t="e">
        <f>IF('Coach Card'!$T$5="",IF($B$1="Solo",IF(M364="","",M364),IF($B$1="MSolo",IF(P364="","",P364),IF($B$1="Duet",IF(S364="","",S364),IF($B$1="Mixed",IF(V364="","",V364),IF(Y364="","",Y364))))),IF($B$1="Solo",IF(M864="","",M864),IF($B$1="MSolo",IF(M864="","",M864),IF($B$1="Duet",IF(P864="","",P864),IF($B$1="Mixed",IF(S864="","",S864),IF(V864="","",V864))))))</f>
        <v>#N/A</v>
      </c>
      <c r="C365" s="3" t="e">
        <f>IF('Coach Card'!$T$5="",IF($B$1="Solo",IF(N364="","",N364),IF($B$1="MSolo",IF(Q364="","",Q364),IF($B$1="Duet",IF(T364="","",T364),IF($B$1="Mixed",IF(W364="","",W364),IF(Z364="","",Z364))))),IF($B$1="Solo",IF(N864="","",N864),IF($B$1="MSolo",IF(N864="","",N864),IF($B$1="Duet",IF(Q864="","",Q864),IF($B$1="Mixed",IF(T864="","",T864),IF(W864="","",W864))))))</f>
        <v>#N/A</v>
      </c>
      <c r="D365" s="3" t="e">
        <f>IF('Coach Card'!$T$5="",IF($D$1="Team",IF(AG364="","",AG364),""),IF($D$1="Team",IF(AD864="","",AD864),""))</f>
        <v>#N/A</v>
      </c>
      <c r="E365" s="3" t="e">
        <f>IF('Coach Card'!$T$5="",IF($D$1="Team",IF(AH364="","",AH364),""),IF($D$1="Team",IF(AE864="","",AE864),""))</f>
        <v>#N/A</v>
      </c>
      <c r="X365" s="1" t="s">
        <v>1766</v>
      </c>
      <c r="Y365" t="s">
        <v>2057</v>
      </c>
      <c r="Z365" s="3">
        <v>0.72</v>
      </c>
      <c r="AK365" t="s">
        <v>2051</v>
      </c>
      <c r="AL365" t="s">
        <v>1642</v>
      </c>
      <c r="AM365">
        <v>0.5</v>
      </c>
    </row>
    <row r="366" spans="1:39" x14ac:dyDescent="0.35">
      <c r="A366" s="6" t="e">
        <f>IF('Coach Card'!$T$5="",IF($B$1="Solo",IF(L365="","",L365),IF($B$1="MSolo",IF(O365="","",O365),IF($B$1="Duet",IF(R365="","",R365),IF($B$1="Mixed",IF(U365="","",U365),IF(X365="","",X365))))),IF($B$1="Solo",IF(L865="","",L865),IF($B$1="MSolo",IF(L865="","",L865),IF($B$1="Duet",IF(O865="","",O865),IF($B$1="Mixed",IF(R865="","",R865),IF(U865="","",U865))))))</f>
        <v>#N/A</v>
      </c>
      <c r="B366" s="3" t="e">
        <f>IF('Coach Card'!$T$5="",IF($B$1="Solo",IF(M365="","",M365),IF($B$1="MSolo",IF(P365="","",P365),IF($B$1="Duet",IF(S365="","",S365),IF($B$1="Mixed",IF(V365="","",V365),IF(Y365="","",Y365))))),IF($B$1="Solo",IF(M865="","",M865),IF($B$1="MSolo",IF(M865="","",M865),IF($B$1="Duet",IF(P865="","",P865),IF($B$1="Mixed",IF(S865="","",S865),IF(V865="","",V865))))))</f>
        <v>#N/A</v>
      </c>
      <c r="C366" s="3" t="e">
        <f>IF('Coach Card'!$T$5="",IF($B$1="Solo",IF(N365="","",N365),IF($B$1="MSolo",IF(Q365="","",Q365),IF($B$1="Duet",IF(T365="","",T365),IF($B$1="Mixed",IF(W365="","",W365),IF(Z365="","",Z365))))),IF($B$1="Solo",IF(N865="","",N865),IF($B$1="MSolo",IF(N865="","",N865),IF($B$1="Duet",IF(Q865="","",Q865),IF($B$1="Mixed",IF(T865="","",T865),IF(W865="","",W865))))))</f>
        <v>#N/A</v>
      </c>
      <c r="D366" s="3" t="e">
        <f>IF('Coach Card'!$T$5="",IF($D$1="Team",IF(AG365="","",AG365),""),IF($D$1="Team",IF(AD865="","",AD865),""))</f>
        <v>#N/A</v>
      </c>
      <c r="E366" s="3" t="e">
        <f>IF('Coach Card'!$T$5="",IF($D$1="Team",IF(AH365="","",AH365),""),IF($D$1="Team",IF(AE865="","",AE865),""))</f>
        <v>#N/A</v>
      </c>
      <c r="X366" s="1" t="s">
        <v>1766</v>
      </c>
      <c r="Y366" t="s">
        <v>2058</v>
      </c>
      <c r="Z366" s="3">
        <v>1.4850000000000001</v>
      </c>
      <c r="AK366" t="s">
        <v>2052</v>
      </c>
      <c r="AL366" t="s">
        <v>1643</v>
      </c>
      <c r="AM366">
        <v>0.5</v>
      </c>
    </row>
    <row r="367" spans="1:39" x14ac:dyDescent="0.35">
      <c r="A367" s="6" t="e">
        <f>IF('Coach Card'!$T$5="",IF($B$1="Solo",IF(L366="","",L366),IF($B$1="MSolo",IF(O366="","",O366),IF($B$1="Duet",IF(R366="","",R366),IF($B$1="Mixed",IF(U366="","",U366),IF(X366="","",X366))))),IF($B$1="Solo",IF(L866="","",L866),IF($B$1="MSolo",IF(L866="","",L866),IF($B$1="Duet",IF(O866="","",O866),IF($B$1="Mixed",IF(R866="","",R866),IF(U866="","",U866))))))</f>
        <v>#N/A</v>
      </c>
      <c r="B367" s="3" t="e">
        <f>IF('Coach Card'!$T$5="",IF($B$1="Solo",IF(M366="","",M366),IF($B$1="MSolo",IF(P366="","",P366),IF($B$1="Duet",IF(S366="","",S366),IF($B$1="Mixed",IF(V366="","",V366),IF(Y366="","",Y366))))),IF($B$1="Solo",IF(M866="","",M866),IF($B$1="MSolo",IF(M866="","",M866),IF($B$1="Duet",IF(P866="","",P866),IF($B$1="Mixed",IF(S866="","",S866),IF(V866="","",V866))))))</f>
        <v>#N/A</v>
      </c>
      <c r="C367" s="3" t="e">
        <f>IF('Coach Card'!$T$5="",IF($B$1="Solo",IF(N366="","",N366),IF($B$1="MSolo",IF(Q366="","",Q366),IF($B$1="Duet",IF(T366="","",T366),IF($B$1="Mixed",IF(W366="","",W366),IF(Z366="","",Z366))))),IF($B$1="Solo",IF(N866="","",N866),IF($B$1="MSolo",IF(N866="","",N866),IF($B$1="Duet",IF(Q866="","",Q866),IF($B$1="Mixed",IF(T866="","",T866),IF(W866="","",W866))))))</f>
        <v>#N/A</v>
      </c>
      <c r="D367" s="3" t="e">
        <f>IF('Coach Card'!$T$5="",IF($D$1="Team",IF(AG366="","",AG366),""),IF($D$1="Team",IF(AD866="","",AD866),""))</f>
        <v>#N/A</v>
      </c>
      <c r="E367" s="3" t="e">
        <f>IF('Coach Card'!$T$5="",IF($D$1="Team",IF(AH366="","",AH366),""),IF($D$1="Team",IF(AE866="","",AE866),""))</f>
        <v>#N/A</v>
      </c>
      <c r="X367" s="1" t="s">
        <v>1766</v>
      </c>
      <c r="Y367" t="s">
        <v>2059</v>
      </c>
      <c r="Z367" s="3">
        <v>1.5</v>
      </c>
      <c r="AK367" t="s">
        <v>2053</v>
      </c>
      <c r="AL367" t="s">
        <v>1644</v>
      </c>
      <c r="AM367">
        <v>0.5</v>
      </c>
    </row>
    <row r="368" spans="1:39" x14ac:dyDescent="0.35">
      <c r="A368" s="6" t="e">
        <f>IF('Coach Card'!$T$5="",IF($B$1="Solo",IF(L367="","",L367),IF($B$1="MSolo",IF(O367="","",O367),IF($B$1="Duet",IF(R367="","",R367),IF($B$1="Mixed",IF(U367="","",U367),IF(X367="","",X367))))),IF($B$1="Solo",IF(L867="","",L867),IF($B$1="MSolo",IF(L867="","",L867),IF($B$1="Duet",IF(O867="","",O867),IF($B$1="Mixed",IF(R867="","",R867),IF(U867="","",U867))))))</f>
        <v>#N/A</v>
      </c>
      <c r="B368" s="3" t="e">
        <f>IF('Coach Card'!$T$5="",IF($B$1="Solo",IF(M367="","",M367),IF($B$1="MSolo",IF(P367="","",P367),IF($B$1="Duet",IF(S367="","",S367),IF($B$1="Mixed",IF(V367="","",V367),IF(Y367="","",Y367))))),IF($B$1="Solo",IF(M867="","",M867),IF($B$1="MSolo",IF(M867="","",M867),IF($B$1="Duet",IF(P867="","",P867),IF($B$1="Mixed",IF(S867="","",S867),IF(V867="","",V867))))))</f>
        <v>#N/A</v>
      </c>
      <c r="C368" s="3" t="e">
        <f>IF('Coach Card'!$T$5="",IF($B$1="Solo",IF(N367="","",N367),IF($B$1="MSolo",IF(Q367="","",Q367),IF($B$1="Duet",IF(T367="","",T367),IF($B$1="Mixed",IF(W367="","",W367),IF(Z367="","",Z367))))),IF($B$1="Solo",IF(N867="","",N867),IF($B$1="MSolo",IF(N867="","",N867),IF($B$1="Duet",IF(Q867="","",Q867),IF($B$1="Mixed",IF(T867="","",T867),IF(W867="","",W867))))))</f>
        <v>#N/A</v>
      </c>
      <c r="D368" s="3" t="e">
        <f>IF('Coach Card'!$T$5="",IF($D$1="Team",IF(AG367="","",AG367),""),IF($D$1="Team",IF(AD867="","",AD867),""))</f>
        <v>#N/A</v>
      </c>
      <c r="E368" s="3" t="e">
        <f>IF('Coach Card'!$T$5="",IF($D$1="Team",IF(AH367="","",AH367),""),IF($D$1="Team",IF(AE867="","",AE867),""))</f>
        <v>#N/A</v>
      </c>
      <c r="X368" s="1" t="s">
        <v>1766</v>
      </c>
      <c r="Y368" t="s">
        <v>2060</v>
      </c>
      <c r="Z368" s="3">
        <v>0.87</v>
      </c>
      <c r="AK368" t="s">
        <v>2054</v>
      </c>
      <c r="AL368" t="s">
        <v>1645</v>
      </c>
      <c r="AM368">
        <v>0.5</v>
      </c>
    </row>
    <row r="369" spans="1:39" x14ac:dyDescent="0.35">
      <c r="A369" s="6" t="e">
        <f>IF('Coach Card'!$T$5="",IF($B$1="Solo",IF(L368="","",L368),IF($B$1="MSolo",IF(O368="","",O368),IF($B$1="Duet",IF(R368="","",R368),IF($B$1="Mixed",IF(U368="","",U368),IF(X368="","",X368))))),IF($B$1="Solo",IF(L868="","",L868),IF($B$1="MSolo",IF(L868="","",L868),IF($B$1="Duet",IF(O868="","",O868),IF($B$1="Mixed",IF(R868="","",R868),IF(U868="","",U868))))))</f>
        <v>#N/A</v>
      </c>
      <c r="B369" s="3" t="e">
        <f>IF('Coach Card'!$T$5="",IF($B$1="Solo",IF(M368="","",M368),IF($B$1="MSolo",IF(P368="","",P368),IF($B$1="Duet",IF(S368="","",S368),IF($B$1="Mixed",IF(V368="","",V368),IF(Y368="","",Y368))))),IF($B$1="Solo",IF(M868="","",M868),IF($B$1="MSolo",IF(M868="","",M868),IF($B$1="Duet",IF(P868="","",P868),IF($B$1="Mixed",IF(S868="","",S868),IF(V868="","",V868))))))</f>
        <v>#N/A</v>
      </c>
      <c r="C369" s="3" t="e">
        <f>IF('Coach Card'!$T$5="",IF($B$1="Solo",IF(N368="","",N368),IF($B$1="MSolo",IF(Q368="","",Q368),IF($B$1="Duet",IF(T368="","",T368),IF($B$1="Mixed",IF(W368="","",W368),IF(Z368="","",Z368))))),IF($B$1="Solo",IF(N868="","",N868),IF($B$1="MSolo",IF(N868="","",N868),IF($B$1="Duet",IF(Q868="","",Q868),IF($B$1="Mixed",IF(T868="","",T868),IF(W868="","",W868))))))</f>
        <v>#N/A</v>
      </c>
      <c r="D369" s="3" t="e">
        <f>IF('Coach Card'!$T$5="",IF($D$1="Team",IF(AG368="","",AG368),""),IF($D$1="Team",IF(AD868="","",AD868),""))</f>
        <v>#N/A</v>
      </c>
      <c r="E369" s="3" t="e">
        <f>IF('Coach Card'!$T$5="",IF($D$1="Team",IF(AH368="","",AH368),""),IF($D$1="Team",IF(AE868="","",AE868),""))</f>
        <v>#N/A</v>
      </c>
      <c r="X369" s="1" t="s">
        <v>1766</v>
      </c>
      <c r="Y369" t="s">
        <v>2061</v>
      </c>
      <c r="Z369" s="3">
        <v>1.7249999999999999</v>
      </c>
      <c r="AK369" t="s">
        <v>2055</v>
      </c>
      <c r="AL369" t="s">
        <v>1646</v>
      </c>
      <c r="AM369">
        <v>0.5</v>
      </c>
    </row>
    <row r="370" spans="1:39" x14ac:dyDescent="0.35">
      <c r="A370" s="6" t="e">
        <f>IF('Coach Card'!$T$5="",IF($B$1="Solo",IF(L369="","",L369),IF($B$1="MSolo",IF(O369="","",O369),IF($B$1="Duet",IF(R369="","",R369),IF($B$1="Mixed",IF(U369="","",U369),IF(X369="","",X369))))),IF($B$1="Solo",IF(L869="","",L869),IF($B$1="MSolo",IF(L869="","",L869),IF($B$1="Duet",IF(O869="","",O869),IF($B$1="Mixed",IF(R869="","",R869),IF(U869="","",U869))))))</f>
        <v>#N/A</v>
      </c>
      <c r="B370" s="3" t="e">
        <f>IF('Coach Card'!$T$5="",IF($B$1="Solo",IF(M369="","",M369),IF($B$1="MSolo",IF(P369="","",P369),IF($B$1="Duet",IF(S369="","",S369),IF($B$1="Mixed",IF(V369="","",V369),IF(Y369="","",Y369))))),IF($B$1="Solo",IF(M869="","",M869),IF($B$1="MSolo",IF(M869="","",M869),IF($B$1="Duet",IF(P869="","",P869),IF($B$1="Mixed",IF(S869="","",S869),IF(V869="","",V869))))))</f>
        <v>#N/A</v>
      </c>
      <c r="C370" s="3" t="e">
        <f>IF('Coach Card'!$T$5="",IF($B$1="Solo",IF(N369="","",N369),IF($B$1="MSolo",IF(Q369="","",Q369),IF($B$1="Duet",IF(T369="","",T369),IF($B$1="Mixed",IF(W369="","",W369),IF(Z369="","",Z369))))),IF($B$1="Solo",IF(N869="","",N869),IF($B$1="MSolo",IF(N869="","",N869),IF($B$1="Duet",IF(Q869="","",Q869),IF($B$1="Mixed",IF(T869="","",T869),IF(W869="","",W869))))))</f>
        <v>#N/A</v>
      </c>
      <c r="D370" s="3" t="e">
        <f>IF('Coach Card'!$T$5="",IF($D$1="Team",IF(AG369="","",AG369),""),IF($D$1="Team",IF(AD869="","",AD869),""))</f>
        <v>#N/A</v>
      </c>
      <c r="E370" s="3" t="e">
        <f>IF('Coach Card'!$T$5="",IF($D$1="Team",IF(AH369="","",AH369),""),IF($D$1="Team",IF(AE869="","",AE869),""))</f>
        <v>#N/A</v>
      </c>
      <c r="X370" s="1" t="s">
        <v>1766</v>
      </c>
      <c r="Y370" t="s">
        <v>2062</v>
      </c>
      <c r="Z370" s="3">
        <v>1.74</v>
      </c>
      <c r="AK370" t="s">
        <v>2056</v>
      </c>
      <c r="AL370" t="s">
        <v>1647</v>
      </c>
      <c r="AM370">
        <v>0.5</v>
      </c>
    </row>
    <row r="371" spans="1:39" x14ac:dyDescent="0.35">
      <c r="A371" s="6" t="e">
        <f>IF('Coach Card'!$T$5="",IF($B$1="Solo",IF(L370="","",L370),IF($B$1="MSolo",IF(O370="","",O370),IF($B$1="Duet",IF(R370="","",R370),IF($B$1="Mixed",IF(U370="","",U370),IF(X370="","",X370))))),IF($B$1="Solo",IF(L870="","",L870),IF($B$1="MSolo",IF(L870="","",L870),IF($B$1="Duet",IF(O870="","",O870),IF($B$1="Mixed",IF(R870="","",R870),IF(U870="","",U870))))))</f>
        <v>#N/A</v>
      </c>
      <c r="B371" s="3" t="e">
        <f>IF('Coach Card'!$T$5="",IF($B$1="Solo",IF(M370="","",M370),IF($B$1="MSolo",IF(P370="","",P370),IF($B$1="Duet",IF(S370="","",S370),IF($B$1="Mixed",IF(V370="","",V370),IF(Y370="","",Y370))))),IF($B$1="Solo",IF(M870="","",M870),IF($B$1="MSolo",IF(M870="","",M870),IF($B$1="Duet",IF(P870="","",P870),IF($B$1="Mixed",IF(S870="","",S870),IF(V870="","",V870))))))</f>
        <v>#N/A</v>
      </c>
      <c r="C371" s="3" t="e">
        <f>IF('Coach Card'!$T$5="",IF($B$1="Solo",IF(N370="","",N370),IF($B$1="MSolo",IF(Q370="","",Q370),IF($B$1="Duet",IF(T370="","",T370),IF($B$1="Mixed",IF(W370="","",W370),IF(Z370="","",Z370))))),IF($B$1="Solo",IF(N870="","",N870),IF($B$1="MSolo",IF(N870="","",N870),IF($B$1="Duet",IF(Q870="","",Q870),IF($B$1="Mixed",IF(T870="","",T870),IF(W870="","",W870))))))</f>
        <v>#N/A</v>
      </c>
      <c r="D371" s="3" t="e">
        <f>IF('Coach Card'!$T$5="",IF($D$1="Team",IF(AG370="","",AG370),""),IF($D$1="Team",IF(AD870="","",AD870),""))</f>
        <v>#N/A</v>
      </c>
      <c r="E371" s="3" t="e">
        <f>IF('Coach Card'!$T$5="",IF($D$1="Team",IF(AH370="","",AH370),""),IF($D$1="Team",IF(AE870="","",AE870),""))</f>
        <v>#N/A</v>
      </c>
      <c r="X371" s="1" t="s">
        <v>1766</v>
      </c>
      <c r="Y371" t="s">
        <v>2063</v>
      </c>
      <c r="Z371" s="3">
        <v>1.02</v>
      </c>
      <c r="AK371" t="s">
        <v>2057</v>
      </c>
      <c r="AL371" t="s">
        <v>1648</v>
      </c>
      <c r="AM371">
        <v>0.5</v>
      </c>
    </row>
    <row r="372" spans="1:39" x14ac:dyDescent="0.35">
      <c r="A372" s="6" t="e">
        <f>IF('Coach Card'!$T$5="",IF($B$1="Solo",IF(L371="","",L371),IF($B$1="MSolo",IF(O371="","",O371),IF($B$1="Duet",IF(R371="","",R371),IF($B$1="Mixed",IF(U371="","",U371),IF(X371="","",X371))))),IF($B$1="Solo",IF(L871="","",L871),IF($B$1="MSolo",IF(L871="","",L871),IF($B$1="Duet",IF(O871="","",O871),IF($B$1="Mixed",IF(R871="","",R871),IF(U871="","",U871))))))</f>
        <v>#N/A</v>
      </c>
      <c r="B372" s="3" t="e">
        <f>IF('Coach Card'!$T$5="",IF($B$1="Solo",IF(M371="","",M371),IF($B$1="MSolo",IF(P371="","",P371),IF($B$1="Duet",IF(S371="","",S371),IF($B$1="Mixed",IF(V371="","",V371),IF(Y371="","",Y371))))),IF($B$1="Solo",IF(M871="","",M871),IF($B$1="MSolo",IF(M871="","",M871),IF($B$1="Duet",IF(P871="","",P871),IF($B$1="Mixed",IF(S871="","",S871),IF(V871="","",V871))))))</f>
        <v>#N/A</v>
      </c>
      <c r="C372" s="3" t="e">
        <f>IF('Coach Card'!$T$5="",IF($B$1="Solo",IF(N371="","",N371),IF($B$1="MSolo",IF(Q371="","",Q371),IF($B$1="Duet",IF(T371="","",T371),IF($B$1="Mixed",IF(W371="","",W371),IF(Z371="","",Z371))))),IF($B$1="Solo",IF(N871="","",N871),IF($B$1="MSolo",IF(N871="","",N871),IF($B$1="Duet",IF(Q871="","",Q871),IF($B$1="Mixed",IF(T871="","",T871),IF(W871="","",W871))))))</f>
        <v>#N/A</v>
      </c>
      <c r="D372" s="3" t="e">
        <f>IF('Coach Card'!$T$5="",IF($D$1="Team",IF(AG371="","",AG371),""),IF($D$1="Team",IF(AD871="","",AD871),""))</f>
        <v>#N/A</v>
      </c>
      <c r="E372" s="3" t="e">
        <f>IF('Coach Card'!$T$5="",IF($D$1="Team",IF(AH371="","",AH371),""),IF($D$1="Team",IF(AE871="","",AE871),""))</f>
        <v>#N/A</v>
      </c>
      <c r="X372" s="1" t="s">
        <v>1766</v>
      </c>
      <c r="Y372" t="s">
        <v>2064</v>
      </c>
      <c r="Z372" s="3">
        <v>1.17</v>
      </c>
      <c r="AK372" t="s">
        <v>2058</v>
      </c>
      <c r="AL372" t="s">
        <v>1649</v>
      </c>
      <c r="AM372">
        <v>0.5</v>
      </c>
    </row>
    <row r="373" spans="1:39" x14ac:dyDescent="0.35">
      <c r="A373" s="6" t="e">
        <f>IF('Coach Card'!$T$5="",IF($B$1="Solo",IF(L372="","",L372),IF($B$1="MSolo",IF(O372="","",O372),IF($B$1="Duet",IF(R372="","",R372),IF($B$1="Mixed",IF(U372="","",U372),IF(X372="","",X372))))),IF($B$1="Solo",IF(L872="","",L872),IF($B$1="MSolo",IF(L872="","",L872),IF($B$1="Duet",IF(O872="","",O872),IF($B$1="Mixed",IF(R872="","",R872),IF(U872="","",U872))))))</f>
        <v>#N/A</v>
      </c>
      <c r="B373" s="3" t="e">
        <f>IF('Coach Card'!$T$5="",IF($B$1="Solo",IF(M372="","",M372),IF($B$1="MSolo",IF(P372="","",P372),IF($B$1="Duet",IF(S372="","",S372),IF($B$1="Mixed",IF(V372="","",V372),IF(Y372="","",Y372))))),IF($B$1="Solo",IF(M872="","",M872),IF($B$1="MSolo",IF(M872="","",M872),IF($B$1="Duet",IF(P872="","",P872),IF($B$1="Mixed",IF(S872="","",S872),IF(V872="","",V872))))))</f>
        <v>#N/A</v>
      </c>
      <c r="C373" s="3" t="e">
        <f>IF('Coach Card'!$T$5="",IF($B$1="Solo",IF(N372="","",N372),IF($B$1="MSolo",IF(Q372="","",Q372),IF($B$1="Duet",IF(T372="","",T372),IF($B$1="Mixed",IF(W372="","",W372),IF(Z372="","",Z372))))),IF($B$1="Solo",IF(N872="","",N872),IF($B$1="MSolo",IF(N872="","",N872),IF($B$1="Duet",IF(Q872="","",Q872),IF($B$1="Mixed",IF(T872="","",T872),IF(W872="","",W872))))))</f>
        <v>#N/A</v>
      </c>
      <c r="D373" s="3" t="e">
        <f>IF('Coach Card'!$T$5="",IF($D$1="Team",IF(AG372="","",AG372),""),IF($D$1="Team",IF(AD872="","",AD872),""))</f>
        <v>#N/A</v>
      </c>
      <c r="E373" s="3" t="e">
        <f>IF('Coach Card'!$T$5="",IF($D$1="Team",IF(AH372="","",AH372),""),IF($D$1="Team",IF(AE872="","",AE872),""))</f>
        <v>#N/A</v>
      </c>
      <c r="X373" s="1" t="s">
        <v>1766</v>
      </c>
      <c r="Y373" t="s">
        <v>2065</v>
      </c>
      <c r="Z373" s="3">
        <v>1.32</v>
      </c>
      <c r="AK373" t="s">
        <v>2059</v>
      </c>
      <c r="AL373" t="s">
        <v>1650</v>
      </c>
      <c r="AM373">
        <v>0.5</v>
      </c>
    </row>
    <row r="374" spans="1:39" x14ac:dyDescent="0.35">
      <c r="A374" s="6" t="e">
        <f>IF('Coach Card'!$T$5="",IF($B$1="Solo",IF(L373="","",L373),IF($B$1="MSolo",IF(O373="","",O373),IF($B$1="Duet",IF(R373="","",R373),IF($B$1="Mixed",IF(U373="","",U373),IF(X373="","",X373))))),IF($B$1="Solo",IF(L873="","",L873),IF($B$1="MSolo",IF(L873="","",L873),IF($B$1="Duet",IF(O873="","",O873),IF($B$1="Mixed",IF(R873="","",R873),IF(U873="","",U873))))))</f>
        <v>#N/A</v>
      </c>
      <c r="B374" s="3" t="e">
        <f>IF('Coach Card'!$T$5="",IF($B$1="Solo",IF(M373="","",M373),IF($B$1="MSolo",IF(P373="","",P373),IF($B$1="Duet",IF(S373="","",S373),IF($B$1="Mixed",IF(V373="","",V373),IF(Y373="","",Y373))))),IF($B$1="Solo",IF(M873="","",M873),IF($B$1="MSolo",IF(M873="","",M873),IF($B$1="Duet",IF(P873="","",P873),IF($B$1="Mixed",IF(S873="","",S873),IF(V873="","",V873))))))</f>
        <v>#N/A</v>
      </c>
      <c r="C374" s="3" t="e">
        <f>IF('Coach Card'!$T$5="",IF($B$1="Solo",IF(N373="","",N373),IF($B$1="MSolo",IF(Q373="","",Q373),IF($B$1="Duet",IF(T373="","",T373),IF($B$1="Mixed",IF(W373="","",W373),IF(Z373="","",Z373))))),IF($B$1="Solo",IF(N873="","",N873),IF($B$1="MSolo",IF(N873="","",N873),IF($B$1="Duet",IF(Q873="","",Q873),IF($B$1="Mixed",IF(T873="","",T873),IF(W873="","",W873))))))</f>
        <v>#N/A</v>
      </c>
      <c r="D374" s="3" t="e">
        <f>IF('Coach Card'!$T$5="",IF($D$1="Team",IF(AG373="","",AG373),""),IF($D$1="Team",IF(AD873="","",AD873),""))</f>
        <v>#N/A</v>
      </c>
      <c r="E374" s="3" t="e">
        <f>IF('Coach Card'!$T$5="",IF($D$1="Team",IF(AH373="","",AH373),""),IF($D$1="Team",IF(AE873="","",AE873),""))</f>
        <v>#N/A</v>
      </c>
      <c r="X374" s="1" t="s">
        <v>1766</v>
      </c>
      <c r="Y374" t="s">
        <v>2066</v>
      </c>
      <c r="Z374" s="3">
        <v>1.47</v>
      </c>
      <c r="AK374" t="s">
        <v>2060</v>
      </c>
      <c r="AL374" t="s">
        <v>1651</v>
      </c>
      <c r="AM374">
        <v>0.5</v>
      </c>
    </row>
    <row r="375" spans="1:39" x14ac:dyDescent="0.35">
      <c r="A375" s="6" t="e">
        <f>IF('Coach Card'!$T$5="",IF($B$1="Solo",IF(L374="","",L374),IF($B$1="MSolo",IF(O374="","",O374),IF($B$1="Duet",IF(R374="","",R374),IF($B$1="Mixed",IF(U374="","",U374),IF(X374="","",X374))))),IF($B$1="Solo",IF(L874="","",L874),IF($B$1="MSolo",IF(L874="","",L874),IF($B$1="Duet",IF(O874="","",O874),IF($B$1="Mixed",IF(R874="","",R874),IF(U874="","",U874))))))</f>
        <v>#N/A</v>
      </c>
      <c r="B375" s="3" t="e">
        <f>IF('Coach Card'!$T$5="",IF($B$1="Solo",IF(M374="","",M374),IF($B$1="MSolo",IF(P374="","",P374),IF($B$1="Duet",IF(S374="","",S374),IF($B$1="Mixed",IF(V374="","",V374),IF(Y374="","",Y374))))),IF($B$1="Solo",IF(M874="","",M874),IF($B$1="MSolo",IF(M874="","",M874),IF($B$1="Duet",IF(P874="","",P874),IF($B$1="Mixed",IF(S874="","",S874),IF(V874="","",V874))))))</f>
        <v>#N/A</v>
      </c>
      <c r="C375" s="3" t="e">
        <f>IF('Coach Card'!$T$5="",IF($B$1="Solo",IF(N374="","",N374),IF($B$1="MSolo",IF(Q374="","",Q374),IF($B$1="Duet",IF(T374="","",T374),IF($B$1="Mixed",IF(W374="","",W374),IF(Z374="","",Z374))))),IF($B$1="Solo",IF(N874="","",N874),IF($B$1="MSolo",IF(N874="","",N874),IF($B$1="Duet",IF(Q874="","",Q874),IF($B$1="Mixed",IF(T874="","",T874),IF(W874="","",W874))))))</f>
        <v>#N/A</v>
      </c>
      <c r="D375" s="3" t="e">
        <f>IF('Coach Card'!$T$5="",IF($D$1="Team",IF(AG374="","",AG374),""),IF($D$1="Team",IF(AD874="","",AD874),""))</f>
        <v>#N/A</v>
      </c>
      <c r="E375" s="3" t="e">
        <f>IF('Coach Card'!$T$5="",IF($D$1="Team",IF(AH374="","",AH374),""),IF($D$1="Team",IF(AE874="","",AE874),""))</f>
        <v>#N/A</v>
      </c>
      <c r="X375" s="1" t="s">
        <v>1767</v>
      </c>
      <c r="Y375" t="s">
        <v>2067</v>
      </c>
      <c r="Z375" s="3">
        <v>0.03</v>
      </c>
      <c r="AK375" t="s">
        <v>2061</v>
      </c>
      <c r="AL375" t="s">
        <v>1652</v>
      </c>
      <c r="AM375">
        <v>0.5</v>
      </c>
    </row>
    <row r="376" spans="1:39" x14ac:dyDescent="0.35">
      <c r="A376" s="6" t="e">
        <f>IF('Coach Card'!$T$5="",IF($B$1="Solo",IF(L375="","",L375),IF($B$1="MSolo",IF(O375="","",O375),IF($B$1="Duet",IF(R375="","",R375),IF($B$1="Mixed",IF(U375="","",U375),IF(X375="","",X375))))),IF($B$1="Solo",IF(L875="","",L875),IF($B$1="MSolo",IF(L875="","",L875),IF($B$1="Duet",IF(O875="","",O875),IF($B$1="Mixed",IF(R875="","",R875),IF(U875="","",U875))))))</f>
        <v>#N/A</v>
      </c>
      <c r="B376" s="3" t="e">
        <f>IF('Coach Card'!$T$5="",IF($B$1="Solo",IF(M375="","",M375),IF($B$1="MSolo",IF(P375="","",P375),IF($B$1="Duet",IF(S375="","",S375),IF($B$1="Mixed",IF(V375="","",V375),IF(Y375="","",Y375))))),IF($B$1="Solo",IF(M875="","",M875),IF($B$1="MSolo",IF(M875="","",M875),IF($B$1="Duet",IF(P875="","",P875),IF($B$1="Mixed",IF(S875="","",S875),IF(V875="","",V875))))))</f>
        <v>#N/A</v>
      </c>
      <c r="C376" s="3" t="e">
        <f>IF('Coach Card'!$T$5="",IF($B$1="Solo",IF(N375="","",N375),IF($B$1="MSolo",IF(Q375="","",Q375),IF($B$1="Duet",IF(T375="","",T375),IF($B$1="Mixed",IF(W375="","",W375),IF(Z375="","",Z375))))),IF($B$1="Solo",IF(N875="","",N875),IF($B$1="MSolo",IF(N875="","",N875),IF($B$1="Duet",IF(Q875="","",Q875),IF($B$1="Mixed",IF(T875="","",T875),IF(W875="","",W875))))))</f>
        <v>#N/A</v>
      </c>
      <c r="D376" s="3" t="e">
        <f>IF('Coach Card'!$T$5="",IF($D$1="Team",IF(AG375="","",AG375),""),IF($D$1="Team",IF(AD875="","",AD875),""))</f>
        <v>#N/A</v>
      </c>
      <c r="E376" s="3" t="e">
        <f>IF('Coach Card'!$T$5="",IF($D$1="Team",IF(AH375="","",AH375),""),IF($D$1="Team",IF(AE875="","",AE875),""))</f>
        <v>#N/A</v>
      </c>
      <c r="X376" s="1" t="s">
        <v>1767</v>
      </c>
      <c r="Y376" t="s">
        <v>2068</v>
      </c>
      <c r="Z376" s="3">
        <v>4.4999999999999998E-2</v>
      </c>
      <c r="AK376" t="s">
        <v>2062</v>
      </c>
      <c r="AL376" t="s">
        <v>1653</v>
      </c>
      <c r="AM376">
        <v>0.5</v>
      </c>
    </row>
    <row r="377" spans="1:39" x14ac:dyDescent="0.35">
      <c r="A377" s="6" t="e">
        <f>IF('Coach Card'!$T$5="",IF($B$1="Solo",IF(L376="","",L376),IF($B$1="MSolo",IF(O376="","",O376),IF($B$1="Duet",IF(R376="","",R376),IF($B$1="Mixed",IF(U376="","",U376),IF(X376="","",X376))))),IF($B$1="Solo",IF(L876="","",L876),IF($B$1="MSolo",IF(L876="","",L876),IF($B$1="Duet",IF(O876="","",O876),IF($B$1="Mixed",IF(R876="","",R876),IF(U876="","",U876))))))</f>
        <v>#N/A</v>
      </c>
      <c r="B377" s="3" t="e">
        <f>IF('Coach Card'!$T$5="",IF($B$1="Solo",IF(M376="","",M376),IF($B$1="MSolo",IF(P376="","",P376),IF($B$1="Duet",IF(S376="","",S376),IF($B$1="Mixed",IF(V376="","",V376),IF(Y376="","",Y376))))),IF($B$1="Solo",IF(M876="","",M876),IF($B$1="MSolo",IF(M876="","",M876),IF($B$1="Duet",IF(P876="","",P876),IF($B$1="Mixed",IF(S876="","",S876),IF(V876="","",V876))))))</f>
        <v>#N/A</v>
      </c>
      <c r="C377" s="3" t="e">
        <f>IF('Coach Card'!$T$5="",IF($B$1="Solo",IF(N376="","",N376),IF($B$1="MSolo",IF(Q376="","",Q376),IF($B$1="Duet",IF(T376="","",T376),IF($B$1="Mixed",IF(W376="","",W376),IF(Z376="","",Z376))))),IF($B$1="Solo",IF(N876="","",N876),IF($B$1="MSolo",IF(N876="","",N876),IF($B$1="Duet",IF(Q876="","",Q876),IF($B$1="Mixed",IF(T876="","",T876),IF(W876="","",W876))))))</f>
        <v>#N/A</v>
      </c>
      <c r="D377" s="3" t="e">
        <f>IF('Coach Card'!$T$5="",IF($D$1="Team",IF(AG376="","",AG376),""),IF($D$1="Team",IF(AD876="","",AD876),""))</f>
        <v>#N/A</v>
      </c>
      <c r="E377" s="3" t="e">
        <f>IF('Coach Card'!$T$5="",IF($D$1="Team",IF(AH376="","",AH376),""),IF($D$1="Team",IF(AE876="","",AE876),""))</f>
        <v>#N/A</v>
      </c>
      <c r="X377" s="1" t="s">
        <v>1767</v>
      </c>
      <c r="Y377" t="s">
        <v>2069</v>
      </c>
      <c r="Z377" s="3">
        <v>0.06</v>
      </c>
      <c r="AK377" t="s">
        <v>2063</v>
      </c>
      <c r="AL377" t="s">
        <v>1654</v>
      </c>
      <c r="AM377">
        <v>0.5</v>
      </c>
    </row>
    <row r="378" spans="1:39" x14ac:dyDescent="0.35">
      <c r="A378" s="6" t="e">
        <f>IF('Coach Card'!$T$5="",IF($B$1="Solo",IF(L377="","",L377),IF($B$1="MSolo",IF(O377="","",O377),IF($B$1="Duet",IF(R377="","",R377),IF($B$1="Mixed",IF(U377="","",U377),IF(X377="","",X377))))),IF($B$1="Solo",IF(L877="","",L877),IF($B$1="MSolo",IF(L877="","",L877),IF($B$1="Duet",IF(O877="","",O877),IF($B$1="Mixed",IF(R877="","",R877),IF(U877="","",U877))))))</f>
        <v>#N/A</v>
      </c>
      <c r="B378" s="3" t="e">
        <f>IF('Coach Card'!$T$5="",IF($B$1="Solo",IF(M377="","",M377),IF($B$1="MSolo",IF(P377="","",P377),IF($B$1="Duet",IF(S377="","",S377),IF($B$1="Mixed",IF(V377="","",V377),IF(Y377="","",Y377))))),IF($B$1="Solo",IF(M877="","",M877),IF($B$1="MSolo",IF(M877="","",M877),IF($B$1="Duet",IF(P877="","",P877),IF($B$1="Mixed",IF(S877="","",S877),IF(V877="","",V877))))))</f>
        <v>#N/A</v>
      </c>
      <c r="C378" s="3" t="e">
        <f>IF('Coach Card'!$T$5="",IF($B$1="Solo",IF(N377="","",N377),IF($B$1="MSolo",IF(Q377="","",Q377),IF($B$1="Duet",IF(T377="","",T377),IF($B$1="Mixed",IF(W377="","",W377),IF(Z377="","",Z377))))),IF($B$1="Solo",IF(N877="","",N877),IF($B$1="MSolo",IF(N877="","",N877),IF($B$1="Duet",IF(Q877="","",Q877),IF($B$1="Mixed",IF(T877="","",T877),IF(W877="","",W877))))))</f>
        <v>#N/A</v>
      </c>
      <c r="D378" s="3" t="e">
        <f>IF('Coach Card'!$T$5="",IF($D$1="Team",IF(AG377="","",AG377),""),IF($D$1="Team",IF(AD877="","",AD877),""))</f>
        <v>#N/A</v>
      </c>
      <c r="E378" s="3" t="e">
        <f>IF('Coach Card'!$T$5="",IF($D$1="Team",IF(AH377="","",AH377),""),IF($D$1="Team",IF(AE877="","",AE877),""))</f>
        <v>#N/A</v>
      </c>
      <c r="X378" s="1" t="s">
        <v>1767</v>
      </c>
      <c r="Y378" t="s">
        <v>2070</v>
      </c>
      <c r="Z378" s="3">
        <v>7.4999999999999997E-2</v>
      </c>
      <c r="AK378" t="s">
        <v>2064</v>
      </c>
      <c r="AL378" t="s">
        <v>1655</v>
      </c>
      <c r="AM378">
        <v>0.5</v>
      </c>
    </row>
    <row r="379" spans="1:39" x14ac:dyDescent="0.35">
      <c r="A379" s="6" t="e">
        <f>IF('Coach Card'!$T$5="",IF($B$1="Solo",IF(L378="","",L378),IF($B$1="MSolo",IF(O378="","",O378),IF($B$1="Duet",IF(R378="","",R378),IF($B$1="Mixed",IF(U378="","",U378),IF(X378="","",X378))))),IF($B$1="Solo",IF(L878="","",L878),IF($B$1="MSolo",IF(L878="","",L878),IF($B$1="Duet",IF(O878="","",O878),IF($B$1="Mixed",IF(R878="","",R878),IF(U878="","",U878))))))</f>
        <v>#N/A</v>
      </c>
      <c r="B379" s="3" t="e">
        <f>IF('Coach Card'!$T$5="",IF($B$1="Solo",IF(M378="","",M378),IF($B$1="MSolo",IF(P378="","",P378),IF($B$1="Duet",IF(S378="","",S378),IF($B$1="Mixed",IF(V378="","",V378),IF(Y378="","",Y378))))),IF($B$1="Solo",IF(M878="","",M878),IF($B$1="MSolo",IF(M878="","",M878),IF($B$1="Duet",IF(P878="","",P878),IF($B$1="Mixed",IF(S878="","",S878),IF(V878="","",V878))))))</f>
        <v>#N/A</v>
      </c>
      <c r="C379" s="3" t="e">
        <f>IF('Coach Card'!$T$5="",IF($B$1="Solo",IF(N378="","",N378),IF($B$1="MSolo",IF(Q378="","",Q378),IF($B$1="Duet",IF(T378="","",T378),IF($B$1="Mixed",IF(W378="","",W378),IF(Z378="","",Z378))))),IF($B$1="Solo",IF(N878="","",N878),IF($B$1="MSolo",IF(N878="","",N878),IF($B$1="Duet",IF(Q878="","",Q878),IF($B$1="Mixed",IF(T878="","",T878),IF(W878="","",W878))))))</f>
        <v>#N/A</v>
      </c>
      <c r="D379" s="3" t="e">
        <f>IF('Coach Card'!$T$5="",IF($D$1="Team",IF(AG378="","",AG378),""),IF($D$1="Team",IF(AD878="","",AD878),""))</f>
        <v>#N/A</v>
      </c>
      <c r="E379" s="3" t="e">
        <f>IF('Coach Card'!$T$5="",IF($D$1="Team",IF(AH378="","",AH378),""),IF($D$1="Team",IF(AE878="","",AE878),""))</f>
        <v>#N/A</v>
      </c>
      <c r="X379" s="1" t="s">
        <v>1767</v>
      </c>
      <c r="Y379" t="s">
        <v>2071</v>
      </c>
      <c r="Z379" s="3">
        <v>7.4999999999999997E-2</v>
      </c>
      <c r="AK379" t="s">
        <v>2065</v>
      </c>
      <c r="AL379" t="s">
        <v>1656</v>
      </c>
      <c r="AM379">
        <v>0.5</v>
      </c>
    </row>
    <row r="380" spans="1:39" x14ac:dyDescent="0.35">
      <c r="A380" s="6" t="e">
        <f>IF('Coach Card'!$T$5="",IF($B$1="Solo",IF(L379="","",L379),IF($B$1="MSolo",IF(O379="","",O379),IF($B$1="Duet",IF(R379="","",R379),IF($B$1="Mixed",IF(U379="","",U379),IF(X379="","",X379))))),IF($B$1="Solo",IF(L879="","",L879),IF($B$1="MSolo",IF(L879="","",L879),IF($B$1="Duet",IF(O879="","",O879),IF($B$1="Mixed",IF(R879="","",R879),IF(U879="","",U879))))))</f>
        <v>#N/A</v>
      </c>
      <c r="B380" s="3" t="e">
        <f>IF('Coach Card'!$T$5="",IF($B$1="Solo",IF(M379="","",M379),IF($B$1="MSolo",IF(P379="","",P379),IF($B$1="Duet",IF(S379="","",S379),IF($B$1="Mixed",IF(V379="","",V379),IF(Y379="","",Y379))))),IF($B$1="Solo",IF(M879="","",M879),IF($B$1="MSolo",IF(M879="","",M879),IF($B$1="Duet",IF(P879="","",P879),IF($B$1="Mixed",IF(S879="","",S879),IF(V879="","",V879))))))</f>
        <v>#N/A</v>
      </c>
      <c r="C380" s="3" t="e">
        <f>IF('Coach Card'!$T$5="",IF($B$1="Solo",IF(N379="","",N379),IF($B$1="MSolo",IF(Q379="","",Q379),IF($B$1="Duet",IF(T379="","",T379),IF($B$1="Mixed",IF(W379="","",W379),IF(Z379="","",Z379))))),IF($B$1="Solo",IF(N879="","",N879),IF($B$1="MSolo",IF(N879="","",N879),IF($B$1="Duet",IF(Q879="","",Q879),IF($B$1="Mixed",IF(T879="","",T879),IF(W879="","",W879))))))</f>
        <v>#N/A</v>
      </c>
      <c r="D380" s="3" t="e">
        <f>IF('Coach Card'!$T$5="",IF($D$1="Team",IF(AG379="","",AG379),""),IF($D$1="Team",IF(AD879="","",AD879),""))</f>
        <v>#N/A</v>
      </c>
      <c r="E380" s="3" t="e">
        <f>IF('Coach Card'!$T$5="",IF($D$1="Team",IF(AH379="","",AH379),""),IF($D$1="Team",IF(AE879="","",AE879),""))</f>
        <v>#N/A</v>
      </c>
      <c r="X380" s="1" t="s">
        <v>1767</v>
      </c>
      <c r="Y380" t="s">
        <v>2072</v>
      </c>
      <c r="Z380" s="3">
        <v>0.06</v>
      </c>
      <c r="AK380" t="s">
        <v>2066</v>
      </c>
      <c r="AL380" t="s">
        <v>1657</v>
      </c>
      <c r="AM380">
        <v>0.5</v>
      </c>
    </row>
    <row r="381" spans="1:39" x14ac:dyDescent="0.35">
      <c r="A381" s="6" t="e">
        <f>IF('Coach Card'!$T$5="",IF($B$1="Solo",IF(L380="","",L380),IF($B$1="MSolo",IF(O380="","",O380),IF($B$1="Duet",IF(R380="","",R380),IF($B$1="Mixed",IF(U380="","",U380),IF(X380="","",X380))))),IF($B$1="Solo",IF(L880="","",L880),IF($B$1="MSolo",IF(L880="","",L880),IF($B$1="Duet",IF(O880="","",O880),IF($B$1="Mixed",IF(R880="","",R880),IF(U880="","",U880))))))</f>
        <v>#N/A</v>
      </c>
      <c r="B381" s="3" t="e">
        <f>IF('Coach Card'!$T$5="",IF($B$1="Solo",IF(M380="","",M380),IF($B$1="MSolo",IF(P380="","",P380),IF($B$1="Duet",IF(S380="","",S380),IF($B$1="Mixed",IF(V380="","",V380),IF(Y380="","",Y380))))),IF($B$1="Solo",IF(M880="","",M880),IF($B$1="MSolo",IF(M880="","",M880),IF($B$1="Duet",IF(P880="","",P880),IF($B$1="Mixed",IF(S880="","",S880),IF(V880="","",V880))))))</f>
        <v>#N/A</v>
      </c>
      <c r="C381" s="3" t="e">
        <f>IF('Coach Card'!$T$5="",IF($B$1="Solo",IF(N380="","",N380),IF($B$1="MSolo",IF(Q380="","",Q380),IF($B$1="Duet",IF(T380="","",T380),IF($B$1="Mixed",IF(W380="","",W380),IF(Z380="","",Z380))))),IF($B$1="Solo",IF(N880="","",N880),IF($B$1="MSolo",IF(N880="","",N880),IF($B$1="Duet",IF(Q880="","",Q880),IF($B$1="Mixed",IF(T880="","",T880),IF(W880="","",W880))))))</f>
        <v>#N/A</v>
      </c>
      <c r="D381" s="3" t="e">
        <f>IF('Coach Card'!$T$5="",IF($D$1="Team",IF(AG380="","",AG380),""),IF($D$1="Team",IF(AD880="","",AD880),""))</f>
        <v>#N/A</v>
      </c>
      <c r="E381" s="3" t="e">
        <f>IF('Coach Card'!$T$5="",IF($D$1="Team",IF(AH380="","",AH380),""),IF($D$1="Team",IF(AE880="","",AE880),""))</f>
        <v>#N/A</v>
      </c>
      <c r="X381" s="1" t="s">
        <v>1767</v>
      </c>
      <c r="Y381" t="s">
        <v>2073</v>
      </c>
      <c r="Z381" s="3">
        <v>0.105</v>
      </c>
      <c r="AK381" t="s">
        <v>2067</v>
      </c>
      <c r="AL381" t="s">
        <v>1658</v>
      </c>
      <c r="AM381">
        <v>0.5</v>
      </c>
    </row>
    <row r="382" spans="1:39" x14ac:dyDescent="0.35">
      <c r="A382" s="6" t="e">
        <f>IF('Coach Card'!$T$5="",IF($B$1="Solo",IF(L381="","",L381),IF($B$1="MSolo",IF(O381="","",O381),IF($B$1="Duet",IF(R381="","",R381),IF($B$1="Mixed",IF(U381="","",U381),IF(X381="","",X381))))),IF($B$1="Solo",IF(L881="","",L881),IF($B$1="MSolo",IF(L881="","",L881),IF($B$1="Duet",IF(O881="","",O881),IF($B$1="Mixed",IF(R881="","",R881),IF(U881="","",U881))))))</f>
        <v>#N/A</v>
      </c>
      <c r="B382" s="3" t="e">
        <f>IF('Coach Card'!$T$5="",IF($B$1="Solo",IF(M381="","",M381),IF($B$1="MSolo",IF(P381="","",P381),IF($B$1="Duet",IF(S381="","",S381),IF($B$1="Mixed",IF(V381="","",V381),IF(Y381="","",Y381))))),IF($B$1="Solo",IF(M881="","",M881),IF($B$1="MSolo",IF(M881="","",M881),IF($B$1="Duet",IF(P881="","",P881),IF($B$1="Mixed",IF(S881="","",S881),IF(V881="","",V881))))))</f>
        <v>#N/A</v>
      </c>
      <c r="C382" s="3" t="e">
        <f>IF('Coach Card'!$T$5="",IF($B$1="Solo",IF(N381="","",N381),IF($B$1="MSolo",IF(Q381="","",Q381),IF($B$1="Duet",IF(T381="","",T381),IF($B$1="Mixed",IF(W381="","",W381),IF(Z381="","",Z381))))),IF($B$1="Solo",IF(N881="","",N881),IF($B$1="MSolo",IF(N881="","",N881),IF($B$1="Duet",IF(Q881="","",Q881),IF($B$1="Mixed",IF(T881="","",T881),IF(W881="","",W881))))))</f>
        <v>#N/A</v>
      </c>
      <c r="D382" s="3" t="e">
        <f>IF('Coach Card'!$T$5="",IF($D$1="Team",IF(AG381="","",AG381),""),IF($D$1="Team",IF(AD881="","",AD881),""))</f>
        <v>#N/A</v>
      </c>
      <c r="E382" s="3" t="e">
        <f>IF('Coach Card'!$T$5="",IF($D$1="Team",IF(AH381="","",AH381),""),IF($D$1="Team",IF(AE881="","",AE881),""))</f>
        <v>#N/A</v>
      </c>
      <c r="X382" s="1" t="s">
        <v>1767</v>
      </c>
      <c r="Y382" t="s">
        <v>2074</v>
      </c>
      <c r="Z382" s="3">
        <v>0.13500000000000001</v>
      </c>
      <c r="AK382" t="s">
        <v>2068</v>
      </c>
      <c r="AL382" t="s">
        <v>1659</v>
      </c>
      <c r="AM382">
        <v>0.5</v>
      </c>
    </row>
    <row r="383" spans="1:39" x14ac:dyDescent="0.35">
      <c r="A383" s="6" t="e">
        <f>IF('Coach Card'!$T$5="",IF($B$1="Solo",IF(L382="","",L382),IF($B$1="MSolo",IF(O382="","",O382),IF($B$1="Duet",IF(R382="","",R382),IF($B$1="Mixed",IF(U382="","",U382),IF(X382="","",X382))))),IF($B$1="Solo",IF(L882="","",L882),IF($B$1="MSolo",IF(L882="","",L882),IF($B$1="Duet",IF(O882="","",O882),IF($B$1="Mixed",IF(R882="","",R882),IF(U882="","",U882))))))</f>
        <v>#N/A</v>
      </c>
      <c r="B383" s="3" t="e">
        <f>IF('Coach Card'!$T$5="",IF($B$1="Solo",IF(M382="","",M382),IF($B$1="MSolo",IF(P382="","",P382),IF($B$1="Duet",IF(S382="","",S382),IF($B$1="Mixed",IF(V382="","",V382),IF(Y382="","",Y382))))),IF($B$1="Solo",IF(M882="","",M882),IF($B$1="MSolo",IF(M882="","",M882),IF($B$1="Duet",IF(P882="","",P882),IF($B$1="Mixed",IF(S882="","",S882),IF(V882="","",V882))))))</f>
        <v>#N/A</v>
      </c>
      <c r="C383" s="3" t="e">
        <f>IF('Coach Card'!$T$5="",IF($B$1="Solo",IF(N382="","",N382),IF($B$1="MSolo",IF(Q382="","",Q382),IF($B$1="Duet",IF(T382="","",T382),IF($B$1="Mixed",IF(W382="","",W382),IF(Z382="","",Z382))))),IF($B$1="Solo",IF(N882="","",N882),IF($B$1="MSolo",IF(N882="","",N882),IF($B$1="Duet",IF(Q882="","",Q882),IF($B$1="Mixed",IF(T882="","",T882),IF(W882="","",W882))))))</f>
        <v>#N/A</v>
      </c>
      <c r="D383" s="3" t="e">
        <f>IF('Coach Card'!$T$5="",IF($D$1="Team",IF(AG382="","",AG382),""),IF($D$1="Team",IF(AD882="","",AD882),""))</f>
        <v>#N/A</v>
      </c>
      <c r="E383" s="3" t="e">
        <f>IF('Coach Card'!$T$5="",IF($D$1="Team",IF(AH382="","",AH382),""),IF($D$1="Team",IF(AE882="","",AE882),""))</f>
        <v>#N/A</v>
      </c>
      <c r="X383" s="1" t="s">
        <v>1767</v>
      </c>
      <c r="Y383" t="s">
        <v>2075</v>
      </c>
      <c r="Z383" s="3">
        <v>0.15</v>
      </c>
      <c r="AK383" t="s">
        <v>2069</v>
      </c>
      <c r="AL383" t="s">
        <v>1660</v>
      </c>
      <c r="AM383">
        <v>0.5</v>
      </c>
    </row>
    <row r="384" spans="1:39" x14ac:dyDescent="0.35">
      <c r="A384" s="6" t="e">
        <f>IF('Coach Card'!$T$5="",IF($B$1="Solo",IF(L383="","",L383),IF($B$1="MSolo",IF(O383="","",O383),IF($B$1="Duet",IF(R383="","",R383),IF($B$1="Mixed",IF(U383="","",U383),IF(X383="","",X383))))),IF($B$1="Solo",IF(L883="","",L883),IF($B$1="MSolo",IF(L883="","",L883),IF($B$1="Duet",IF(O883="","",O883),IF($B$1="Mixed",IF(R883="","",R883),IF(U883="","",U883))))))</f>
        <v>#N/A</v>
      </c>
      <c r="B384" s="3" t="e">
        <f>IF('Coach Card'!$T$5="",IF($B$1="Solo",IF(M383="","",M383),IF($B$1="MSolo",IF(P383="","",P383),IF($B$1="Duet",IF(S383="","",S383),IF($B$1="Mixed",IF(V383="","",V383),IF(Y383="","",Y383))))),IF($B$1="Solo",IF(M883="","",M883),IF($B$1="MSolo",IF(M883="","",M883),IF($B$1="Duet",IF(P883="","",P883),IF($B$1="Mixed",IF(S883="","",S883),IF(V883="","",V883))))))</f>
        <v>#N/A</v>
      </c>
      <c r="C384" s="3" t="e">
        <f>IF('Coach Card'!$T$5="",IF($B$1="Solo",IF(N383="","",N383),IF($B$1="MSolo",IF(Q383="","",Q383),IF($B$1="Duet",IF(T383="","",T383),IF($B$1="Mixed",IF(W383="","",W383),IF(Z383="","",Z383))))),IF($B$1="Solo",IF(N883="","",N883),IF($B$1="MSolo",IF(N883="","",N883),IF($B$1="Duet",IF(Q883="","",Q883),IF($B$1="Mixed",IF(T883="","",T883),IF(W883="","",W883))))))</f>
        <v>#N/A</v>
      </c>
      <c r="D384" s="3" t="e">
        <f>IF('Coach Card'!$T$5="",IF($D$1="Team",IF(AG383="","",AG383),""),IF($D$1="Team",IF(AD883="","",AD883),""))</f>
        <v>#N/A</v>
      </c>
      <c r="E384" s="3" t="e">
        <f>IF('Coach Card'!$T$5="",IF($D$1="Team",IF(AH383="","",AH383),""),IF($D$1="Team",IF(AE883="","",AE883),""))</f>
        <v>#N/A</v>
      </c>
      <c r="X384" s="1" t="s">
        <v>1767</v>
      </c>
      <c r="Y384" t="s">
        <v>2076</v>
      </c>
      <c r="Z384" s="3">
        <v>0.16500000000000001</v>
      </c>
      <c r="AK384" t="s">
        <v>2070</v>
      </c>
      <c r="AL384" t="s">
        <v>1798</v>
      </c>
      <c r="AM384">
        <v>0.5</v>
      </c>
    </row>
    <row r="385" spans="1:39" x14ac:dyDescent="0.35">
      <c r="A385" s="6" t="e">
        <f>IF('Coach Card'!$T$5="",IF($B$1="Solo",IF(L384="","",L384),IF($B$1="MSolo",IF(O384="","",O384),IF($B$1="Duet",IF(R384="","",R384),IF($B$1="Mixed",IF(U384="","",U384),IF(X384="","",X384))))),IF($B$1="Solo",IF(L884="","",L884),IF($B$1="MSolo",IF(L884="","",L884),IF($B$1="Duet",IF(O884="","",O884),IF($B$1="Mixed",IF(R884="","",R884),IF(U884="","",U884))))))</f>
        <v>#N/A</v>
      </c>
      <c r="B385" s="3" t="e">
        <f>IF('Coach Card'!$T$5="",IF($B$1="Solo",IF(M384="","",M384),IF($B$1="MSolo",IF(P384="","",P384),IF($B$1="Duet",IF(S384="","",S384),IF($B$1="Mixed",IF(V384="","",V384),IF(Y384="","",Y384))))),IF($B$1="Solo",IF(M884="","",M884),IF($B$1="MSolo",IF(M884="","",M884),IF($B$1="Duet",IF(P884="","",P884),IF($B$1="Mixed",IF(S884="","",S884),IF(V884="","",V884))))))</f>
        <v>#N/A</v>
      </c>
      <c r="C385" s="3" t="e">
        <f>IF('Coach Card'!$T$5="",IF($B$1="Solo",IF(N384="","",N384),IF($B$1="MSolo",IF(Q384="","",Q384),IF($B$1="Duet",IF(T384="","",T384),IF($B$1="Mixed",IF(W384="","",W384),IF(Z384="","",Z384))))),IF($B$1="Solo",IF(N884="","",N884),IF($B$1="MSolo",IF(N884="","",N884),IF($B$1="Duet",IF(Q884="","",Q884),IF($B$1="Mixed",IF(T884="","",T884),IF(W884="","",W884))))))</f>
        <v>#N/A</v>
      </c>
      <c r="D385" s="3" t="e">
        <f>IF('Coach Card'!$T$5="",IF($D$1="Team",IF(AG384="","",AG384),""),IF($D$1="Team",IF(AD884="","",AD884),""))</f>
        <v>#N/A</v>
      </c>
      <c r="E385" s="3" t="e">
        <f>IF('Coach Card'!$T$5="",IF($D$1="Team",IF(AH384="","",AH384),""),IF($D$1="Team",IF(AE884="","",AE884),""))</f>
        <v>#N/A</v>
      </c>
      <c r="X385" s="1" t="s">
        <v>1767</v>
      </c>
      <c r="Y385" t="s">
        <v>2077</v>
      </c>
      <c r="Z385" s="3">
        <v>0.16500000000000001</v>
      </c>
      <c r="AK385" t="s">
        <v>2071</v>
      </c>
      <c r="AL385" t="s">
        <v>1799</v>
      </c>
      <c r="AM385">
        <v>0.5</v>
      </c>
    </row>
    <row r="386" spans="1:39" x14ac:dyDescent="0.35">
      <c r="A386" s="6" t="e">
        <f>IF('Coach Card'!$T$5="",IF($B$1="Solo",IF(L385="","",L385),IF($B$1="MSolo",IF(O385="","",O385),IF($B$1="Duet",IF(R385="","",R385),IF($B$1="Mixed",IF(U385="","",U385),IF(X385="","",X385))))),IF($B$1="Solo",IF(L885="","",L885),IF($B$1="MSolo",IF(L885="","",L885),IF($B$1="Duet",IF(O885="","",O885),IF($B$1="Mixed",IF(R885="","",R885),IF(U885="","",U885))))))</f>
        <v>#N/A</v>
      </c>
      <c r="B386" s="3" t="e">
        <f>IF('Coach Card'!$T$5="",IF($B$1="Solo",IF(M385="","",M385),IF($B$1="MSolo",IF(P385="","",P385),IF($B$1="Duet",IF(S385="","",S385),IF($B$1="Mixed",IF(V385="","",V385),IF(Y385="","",Y385))))),IF($B$1="Solo",IF(M885="","",M885),IF($B$1="MSolo",IF(M885="","",M885),IF($B$1="Duet",IF(P885="","",P885),IF($B$1="Mixed",IF(S885="","",S885),IF(V885="","",V885))))))</f>
        <v>#N/A</v>
      </c>
      <c r="C386" s="3" t="e">
        <f>IF('Coach Card'!$T$5="",IF($B$1="Solo",IF(N385="","",N385),IF($B$1="MSolo",IF(Q385="","",Q385),IF($B$1="Duet",IF(T385="","",T385),IF($B$1="Mixed",IF(W385="","",W385),IF(Z385="","",Z385))))),IF($B$1="Solo",IF(N885="","",N885),IF($B$1="MSolo",IF(N885="","",N885),IF($B$1="Duet",IF(Q885="","",Q885),IF($B$1="Mixed",IF(T885="","",T885),IF(W885="","",W885))))))</f>
        <v>#N/A</v>
      </c>
      <c r="D386" s="3" t="e">
        <f>IF('Coach Card'!$T$5="",IF($D$1="Team",IF(AG385="","",AG385),""),IF($D$1="Team",IF(AD885="","",AD885),""))</f>
        <v>#N/A</v>
      </c>
      <c r="E386" s="3" t="e">
        <f>IF('Coach Card'!$T$5="",IF($D$1="Team",IF(AH385="","",AH385),""),IF($D$1="Team",IF(AE885="","",AE885),""))</f>
        <v>#N/A</v>
      </c>
      <c r="X386" s="1" t="s">
        <v>1767</v>
      </c>
      <c r="Y386" t="s">
        <v>2012</v>
      </c>
      <c r="Z386" s="3">
        <v>0.16500000000000001</v>
      </c>
      <c r="AK386" t="s">
        <v>2072</v>
      </c>
      <c r="AL386" t="s">
        <v>56</v>
      </c>
      <c r="AM386">
        <v>0.5</v>
      </c>
    </row>
    <row r="387" spans="1:39" x14ac:dyDescent="0.35">
      <c r="A387" s="6" t="e">
        <f>IF('Coach Card'!$T$5="",IF($B$1="Solo",IF(L386="","",L386),IF($B$1="MSolo",IF(O386="","",O386),IF($B$1="Duet",IF(R386="","",R386),IF($B$1="Mixed",IF(U386="","",U386),IF(X386="","",X386))))),IF($B$1="Solo",IF(L886="","",L886),IF($B$1="MSolo",IF(L886="","",L886),IF($B$1="Duet",IF(O886="","",O886),IF($B$1="Mixed",IF(R886="","",R886),IF(U886="","",U886))))))</f>
        <v>#N/A</v>
      </c>
      <c r="B387" s="3" t="e">
        <f>IF('Coach Card'!$T$5="",IF($B$1="Solo",IF(M386="","",M386),IF($B$1="MSolo",IF(P386="","",P386),IF($B$1="Duet",IF(S386="","",S386),IF($B$1="Mixed",IF(V386="","",V386),IF(Y386="","",Y386))))),IF($B$1="Solo",IF(M886="","",M886),IF($B$1="MSolo",IF(M886="","",M886),IF($B$1="Duet",IF(P886="","",P886),IF($B$1="Mixed",IF(S886="","",S886),IF(V886="","",V886))))))</f>
        <v>#N/A</v>
      </c>
      <c r="C387" s="3" t="e">
        <f>IF('Coach Card'!$T$5="",IF($B$1="Solo",IF(N386="","",N386),IF($B$1="MSolo",IF(Q386="","",Q386),IF($B$1="Duet",IF(T386="","",T386),IF($B$1="Mixed",IF(W386="","",W386),IF(Z386="","",Z386))))),IF($B$1="Solo",IF(N886="","",N886),IF($B$1="MSolo",IF(N886="","",N886),IF($B$1="Duet",IF(Q886="","",Q886),IF($B$1="Mixed",IF(T886="","",T886),IF(W886="","",W886))))))</f>
        <v>#N/A</v>
      </c>
      <c r="D387" s="3" t="e">
        <f>IF('Coach Card'!$T$5="",IF($D$1="Team",IF(AG386="","",AG386),""),IF($D$1="Team",IF(AD886="","",AD886),""))</f>
        <v>#N/A</v>
      </c>
      <c r="E387" s="3" t="e">
        <f>IF('Coach Card'!$T$5="",IF($D$1="Team",IF(AH386="","",AH386),""),IF($D$1="Team",IF(AE886="","",AE886),""))</f>
        <v>#N/A</v>
      </c>
      <c r="X387" s="1" t="s">
        <v>1767</v>
      </c>
      <c r="Y387" t="s">
        <v>2078</v>
      </c>
      <c r="Z387" s="3">
        <v>0.12</v>
      </c>
      <c r="AK387" t="s">
        <v>2073</v>
      </c>
      <c r="AL387" t="s">
        <v>1661</v>
      </c>
      <c r="AM387">
        <v>0.5</v>
      </c>
    </row>
    <row r="388" spans="1:39" x14ac:dyDescent="0.35">
      <c r="A388" s="6" t="e">
        <f>IF('Coach Card'!$T$5="",IF($B$1="Solo",IF(L387="","",L387),IF($B$1="MSolo",IF(O387="","",O387),IF($B$1="Duet",IF(R387="","",R387),IF($B$1="Mixed",IF(U387="","",U387),IF(X387="","",X387))))),IF($B$1="Solo",IF(L887="","",L887),IF($B$1="MSolo",IF(L887="","",L887),IF($B$1="Duet",IF(O887="","",O887),IF($B$1="Mixed",IF(R887="","",R887),IF(U887="","",U887))))))</f>
        <v>#N/A</v>
      </c>
      <c r="B388" s="3" t="e">
        <f>IF('Coach Card'!$T$5="",IF($B$1="Solo",IF(M387="","",M387),IF($B$1="MSolo",IF(P387="","",P387),IF($B$1="Duet",IF(S387="","",S387),IF($B$1="Mixed",IF(V387="","",V387),IF(Y387="","",Y387))))),IF($B$1="Solo",IF(M887="","",M887),IF($B$1="MSolo",IF(M887="","",M887),IF($B$1="Duet",IF(P887="","",P887),IF($B$1="Mixed",IF(S887="","",S887),IF(V887="","",V887))))))</f>
        <v>#N/A</v>
      </c>
      <c r="C388" s="3" t="e">
        <f>IF('Coach Card'!$T$5="",IF($B$1="Solo",IF(N387="","",N387),IF($B$1="MSolo",IF(Q387="","",Q387),IF($B$1="Duet",IF(T387="","",T387),IF($B$1="Mixed",IF(W387="","",W387),IF(Z387="","",Z387))))),IF($B$1="Solo",IF(N887="","",N887),IF($B$1="MSolo",IF(N887="","",N887),IF($B$1="Duet",IF(Q887="","",Q887),IF($B$1="Mixed",IF(T887="","",T887),IF(W887="","",W887))))))</f>
        <v>#N/A</v>
      </c>
      <c r="D388" s="3" t="e">
        <f>IF('Coach Card'!$T$5="",IF($D$1="Team",IF(AG387="","",AG387),""),IF($D$1="Team",IF(AD887="","",AD887),""))</f>
        <v>#N/A</v>
      </c>
      <c r="E388" s="3" t="e">
        <f>IF('Coach Card'!$T$5="",IF($D$1="Team",IF(AH387="","",AH387),""),IF($D$1="Team",IF(AE887="","",AE887),""))</f>
        <v>#N/A</v>
      </c>
      <c r="X388" s="1" t="s">
        <v>1767</v>
      </c>
      <c r="Y388" t="s">
        <v>2079</v>
      </c>
      <c r="Z388" s="3">
        <v>0.22499999999999998</v>
      </c>
      <c r="AK388" t="s">
        <v>2074</v>
      </c>
      <c r="AL388" t="s">
        <v>1662</v>
      </c>
      <c r="AM388">
        <v>0.5</v>
      </c>
    </row>
    <row r="389" spans="1:39" x14ac:dyDescent="0.35">
      <c r="A389" s="6" t="e">
        <f>IF('Coach Card'!$T$5="",IF($B$1="Solo",IF(L388="","",L388),IF($B$1="MSolo",IF(O388="","",O388),IF($B$1="Duet",IF(R388="","",R388),IF($B$1="Mixed",IF(U388="","",U388),IF(X388="","",X388))))),IF($B$1="Solo",IF(L888="","",L888),IF($B$1="MSolo",IF(L888="","",L888),IF($B$1="Duet",IF(O888="","",O888),IF($B$1="Mixed",IF(R888="","",R888),IF(U888="","",U888))))))</f>
        <v>#N/A</v>
      </c>
      <c r="B389" s="3" t="e">
        <f>IF('Coach Card'!$T$5="",IF($B$1="Solo",IF(M388="","",M388),IF($B$1="MSolo",IF(P388="","",P388),IF($B$1="Duet",IF(S388="","",S388),IF($B$1="Mixed",IF(V388="","",V388),IF(Y388="","",Y388))))),IF($B$1="Solo",IF(M888="","",M888),IF($B$1="MSolo",IF(M888="","",M888),IF($B$1="Duet",IF(P888="","",P888),IF($B$1="Mixed",IF(S888="","",S888),IF(V888="","",V888))))))</f>
        <v>#N/A</v>
      </c>
      <c r="C389" s="3" t="e">
        <f>IF('Coach Card'!$T$5="",IF($B$1="Solo",IF(N388="","",N388),IF($B$1="MSolo",IF(Q388="","",Q388),IF($B$1="Duet",IF(T388="","",T388),IF($B$1="Mixed",IF(W388="","",W388),IF(Z388="","",Z388))))),IF($B$1="Solo",IF(N888="","",N888),IF($B$1="MSolo",IF(N888="","",N888),IF($B$1="Duet",IF(Q888="","",Q888),IF($B$1="Mixed",IF(T888="","",T888),IF(W888="","",W888))))))</f>
        <v>#N/A</v>
      </c>
      <c r="D389" s="3" t="e">
        <f>IF('Coach Card'!$T$5="",IF($D$1="Team",IF(AG388="","",AG388),""),IF($D$1="Team",IF(AD888="","",AD888),""))</f>
        <v>#N/A</v>
      </c>
      <c r="E389" s="3" t="e">
        <f>IF('Coach Card'!$T$5="",IF($D$1="Team",IF(AH388="","",AH388),""),IF($D$1="Team",IF(AE888="","",AE888),""))</f>
        <v>#N/A</v>
      </c>
      <c r="X389" s="1" t="s">
        <v>1767</v>
      </c>
      <c r="Y389" t="s">
        <v>2080</v>
      </c>
      <c r="Z389" s="3">
        <v>0.28499999999999998</v>
      </c>
      <c r="AK389" t="s">
        <v>2075</v>
      </c>
      <c r="AL389" t="s">
        <v>1663</v>
      </c>
      <c r="AM389">
        <v>0.5</v>
      </c>
    </row>
    <row r="390" spans="1:39" x14ac:dyDescent="0.35">
      <c r="A390" s="6" t="e">
        <f>IF('Coach Card'!$T$5="",IF($B$1="Solo",IF(L389="","",L389),IF($B$1="MSolo",IF(O389="","",O389),IF($B$1="Duet",IF(R389="","",R389),IF($B$1="Mixed",IF(U389="","",U389),IF(X389="","",X389))))),IF($B$1="Solo",IF(L889="","",L889),IF($B$1="MSolo",IF(L889="","",L889),IF($B$1="Duet",IF(O889="","",O889),IF($B$1="Mixed",IF(R889="","",R889),IF(U889="","",U889))))))</f>
        <v>#N/A</v>
      </c>
      <c r="B390" s="3" t="e">
        <f>IF('Coach Card'!$T$5="",IF($B$1="Solo",IF(M389="","",M389),IF($B$1="MSolo",IF(P389="","",P389),IF($B$1="Duet",IF(S389="","",S389),IF($B$1="Mixed",IF(V389="","",V389),IF(Y389="","",Y389))))),IF($B$1="Solo",IF(M889="","",M889),IF($B$1="MSolo",IF(M889="","",M889),IF($B$1="Duet",IF(P889="","",P889),IF($B$1="Mixed",IF(S889="","",S889),IF(V889="","",V889))))))</f>
        <v>#N/A</v>
      </c>
      <c r="C390" s="3" t="e">
        <f>IF('Coach Card'!$T$5="",IF($B$1="Solo",IF(N389="","",N389),IF($B$1="MSolo",IF(Q389="","",Q389),IF($B$1="Duet",IF(T389="","",T389),IF($B$1="Mixed",IF(W389="","",W389),IF(Z389="","",Z389))))),IF($B$1="Solo",IF(N889="","",N889),IF($B$1="MSolo",IF(N889="","",N889),IF($B$1="Duet",IF(Q889="","",Q889),IF($B$1="Mixed",IF(T889="","",T889),IF(W889="","",W889))))))</f>
        <v>#N/A</v>
      </c>
      <c r="D390" s="3" t="e">
        <f>IF('Coach Card'!$T$5="",IF($D$1="Team",IF(AG389="","",AG389),""),IF($D$1="Team",IF(AD889="","",AD889),""))</f>
        <v>#N/A</v>
      </c>
      <c r="E390" s="3" t="e">
        <f>IF('Coach Card'!$T$5="",IF($D$1="Team",IF(AH389="","",AH389),""),IF($D$1="Team",IF(AE889="","",AE889),""))</f>
        <v>#N/A</v>
      </c>
      <c r="X390" s="1" t="s">
        <v>1767</v>
      </c>
      <c r="Y390" t="s">
        <v>2081</v>
      </c>
      <c r="Z390" s="3">
        <v>0.315</v>
      </c>
      <c r="AK390" t="s">
        <v>2076</v>
      </c>
      <c r="AL390" t="s">
        <v>1664</v>
      </c>
      <c r="AM390">
        <v>0.5</v>
      </c>
    </row>
    <row r="391" spans="1:39" x14ac:dyDescent="0.35">
      <c r="A391" s="6" t="e">
        <f>IF('Coach Card'!$T$5="",IF($B$1="Solo",IF(L390="","",L390),IF($B$1="MSolo",IF(O390="","",O390),IF($B$1="Duet",IF(R390="","",R390),IF($B$1="Mixed",IF(U390="","",U390),IF(X390="","",X390))))),IF($B$1="Solo",IF(L890="","",L890),IF($B$1="MSolo",IF(L890="","",L890),IF($B$1="Duet",IF(O890="","",O890),IF($B$1="Mixed",IF(R890="","",R890),IF(U890="","",U890))))))</f>
        <v>#N/A</v>
      </c>
      <c r="B391" s="3" t="e">
        <f>IF('Coach Card'!$T$5="",IF($B$1="Solo",IF(M390="","",M390),IF($B$1="MSolo",IF(P390="","",P390),IF($B$1="Duet",IF(S390="","",S390),IF($B$1="Mixed",IF(V390="","",V390),IF(Y390="","",Y390))))),IF($B$1="Solo",IF(M890="","",M890),IF($B$1="MSolo",IF(M890="","",M890),IF($B$1="Duet",IF(P890="","",P890),IF($B$1="Mixed",IF(S890="","",S890),IF(V890="","",V890))))))</f>
        <v>#N/A</v>
      </c>
      <c r="C391" s="3" t="e">
        <f>IF('Coach Card'!$T$5="",IF($B$1="Solo",IF(N390="","",N390),IF($B$1="MSolo",IF(Q390="","",Q390),IF($B$1="Duet",IF(T390="","",T390),IF($B$1="Mixed",IF(W390="","",W390),IF(Z390="","",Z390))))),IF($B$1="Solo",IF(N890="","",N890),IF($B$1="MSolo",IF(N890="","",N890),IF($B$1="Duet",IF(Q890="","",Q890),IF($B$1="Mixed",IF(T890="","",T890),IF(W890="","",W890))))))</f>
        <v>#N/A</v>
      </c>
      <c r="D391" s="3" t="e">
        <f>IF('Coach Card'!$T$5="",IF($D$1="Team",IF(AG390="","",AG390),""),IF($D$1="Team",IF(AD890="","",AD890),""))</f>
        <v>#N/A</v>
      </c>
      <c r="E391" s="3" t="e">
        <f>IF('Coach Card'!$T$5="",IF($D$1="Team",IF(AH390="","",AH390),""),IF($D$1="Team",IF(AE890="","",AE890),""))</f>
        <v>#N/A</v>
      </c>
      <c r="X391" s="1" t="s">
        <v>1767</v>
      </c>
      <c r="Y391" t="s">
        <v>2082</v>
      </c>
      <c r="Z391" s="3">
        <v>0.34499999999999997</v>
      </c>
      <c r="AK391" t="s">
        <v>2077</v>
      </c>
      <c r="AL391" t="s">
        <v>1665</v>
      </c>
      <c r="AM391">
        <v>0.5</v>
      </c>
    </row>
    <row r="392" spans="1:39" x14ac:dyDescent="0.35">
      <c r="A392" s="6" t="e">
        <f>IF('Coach Card'!$T$5="",IF($B$1="Solo",IF(L391="","",L391),IF($B$1="MSolo",IF(O391="","",O391),IF($B$1="Duet",IF(R391="","",R391),IF($B$1="Mixed",IF(U391="","",U391),IF(X391="","",X391))))),IF($B$1="Solo",IF(L891="","",L891),IF($B$1="MSolo",IF(L891="","",L891),IF($B$1="Duet",IF(O891="","",O891),IF($B$1="Mixed",IF(R891="","",R891),IF(U891="","",U891))))))</f>
        <v>#N/A</v>
      </c>
      <c r="B392" s="3" t="e">
        <f>IF('Coach Card'!$T$5="",IF($B$1="Solo",IF(M391="","",M391),IF($B$1="MSolo",IF(P391="","",P391),IF($B$1="Duet",IF(S391="","",S391),IF($B$1="Mixed",IF(V391="","",V391),IF(Y391="","",Y391))))),IF($B$1="Solo",IF(M891="","",M891),IF($B$1="MSolo",IF(M891="","",M891),IF($B$1="Duet",IF(P891="","",P891),IF($B$1="Mixed",IF(S891="","",S891),IF(V891="","",V891))))))</f>
        <v>#N/A</v>
      </c>
      <c r="C392" s="3" t="e">
        <f>IF('Coach Card'!$T$5="",IF($B$1="Solo",IF(N391="","",N391),IF($B$1="MSolo",IF(Q391="","",Q391),IF($B$1="Duet",IF(T391="","",T391),IF($B$1="Mixed",IF(W391="","",W391),IF(Z391="","",Z391))))),IF($B$1="Solo",IF(N891="","",N891),IF($B$1="MSolo",IF(N891="","",N891),IF($B$1="Duet",IF(Q891="","",Q891),IF($B$1="Mixed",IF(T891="","",T891),IF(W891="","",W891))))))</f>
        <v>#N/A</v>
      </c>
      <c r="D392" s="3" t="e">
        <f>IF('Coach Card'!$T$5="",IF($D$1="Team",IF(AG391="","",AG391),""),IF($D$1="Team",IF(AD891="","",AD891),""))</f>
        <v>#N/A</v>
      </c>
      <c r="E392" s="3" t="e">
        <f>IF('Coach Card'!$T$5="",IF($D$1="Team",IF(AH391="","",AH391),""),IF($D$1="Team",IF(AE891="","",AE891),""))</f>
        <v>#N/A</v>
      </c>
      <c r="X392" s="1" t="s">
        <v>1767</v>
      </c>
      <c r="Y392" t="s">
        <v>2083</v>
      </c>
      <c r="Z392" s="3">
        <v>0.18</v>
      </c>
      <c r="AK392" t="s">
        <v>2012</v>
      </c>
      <c r="AL392" t="s">
        <v>1666</v>
      </c>
      <c r="AM392">
        <v>0.5</v>
      </c>
    </row>
    <row r="393" spans="1:39" x14ac:dyDescent="0.35">
      <c r="A393" s="6" t="e">
        <f>IF('Coach Card'!$T$5="",IF($B$1="Solo",IF(L392="","",L392),IF($B$1="MSolo",IF(O392="","",O392),IF($B$1="Duet",IF(R392="","",R392),IF($B$1="Mixed",IF(U392="","",U392),IF(X392="","",X392))))),IF($B$1="Solo",IF(L892="","",L892),IF($B$1="MSolo",IF(L892="","",L892),IF($B$1="Duet",IF(O892="","",O892),IF($B$1="Mixed",IF(R892="","",R892),IF(U892="","",U892))))))</f>
        <v>#N/A</v>
      </c>
      <c r="B393" s="3" t="e">
        <f>IF('Coach Card'!$T$5="",IF($B$1="Solo",IF(M392="","",M392),IF($B$1="MSolo",IF(P392="","",P392),IF($B$1="Duet",IF(S392="","",S392),IF($B$1="Mixed",IF(V392="","",V392),IF(Y392="","",Y392))))),IF($B$1="Solo",IF(M892="","",M892),IF($B$1="MSolo",IF(M892="","",M892),IF($B$1="Duet",IF(P892="","",P892),IF($B$1="Mixed",IF(S892="","",S892),IF(V892="","",V892))))))</f>
        <v>#N/A</v>
      </c>
      <c r="C393" s="3" t="e">
        <f>IF('Coach Card'!$T$5="",IF($B$1="Solo",IF(N392="","",N392),IF($B$1="MSolo",IF(Q392="","",Q392),IF($B$1="Duet",IF(T392="","",T392),IF($B$1="Mixed",IF(W392="","",W392),IF(Z392="","",Z392))))),IF($B$1="Solo",IF(N892="","",N892),IF($B$1="MSolo",IF(N892="","",N892),IF($B$1="Duet",IF(Q892="","",Q892),IF($B$1="Mixed",IF(T892="","",T892),IF(W892="","",W892))))))</f>
        <v>#N/A</v>
      </c>
      <c r="D393" s="3" t="e">
        <f>IF('Coach Card'!$T$5="",IF($D$1="Team",IF(AG392="","",AG392),""),IF($D$1="Team",IF(AD892="","",AD892),""))</f>
        <v>#N/A</v>
      </c>
      <c r="E393" s="3" t="e">
        <f>IF('Coach Card'!$T$5="",IF($D$1="Team",IF(AH392="","",AH392),""),IF($D$1="Team",IF(AE892="","",AE892),""))</f>
        <v>#N/A</v>
      </c>
      <c r="X393" s="1" t="s">
        <v>1767</v>
      </c>
      <c r="Y393" t="s">
        <v>2084</v>
      </c>
      <c r="Z393" s="3">
        <v>0.34499999999999997</v>
      </c>
      <c r="AK393" t="s">
        <v>2078</v>
      </c>
      <c r="AL393" t="s">
        <v>57</v>
      </c>
      <c r="AM393">
        <v>0.5</v>
      </c>
    </row>
    <row r="394" spans="1:39" x14ac:dyDescent="0.35">
      <c r="A394" s="6" t="e">
        <f>IF('Coach Card'!$T$5="",IF($B$1="Solo",IF(L393="","",L393),IF($B$1="MSolo",IF(O393="","",O393),IF($B$1="Duet",IF(R393="","",R393),IF($B$1="Mixed",IF(U393="","",U393),IF(X393="","",X393))))),IF($B$1="Solo",IF(L893="","",L893),IF($B$1="MSolo",IF(L893="","",L893),IF($B$1="Duet",IF(O893="","",O893),IF($B$1="Mixed",IF(R893="","",R893),IF(U893="","",U893))))))</f>
        <v>#N/A</v>
      </c>
      <c r="B394" s="3" t="e">
        <f>IF('Coach Card'!$T$5="",IF($B$1="Solo",IF(M393="","",M393),IF($B$1="MSolo",IF(P393="","",P393),IF($B$1="Duet",IF(S393="","",S393),IF($B$1="Mixed",IF(V393="","",V393),IF(Y393="","",Y393))))),IF($B$1="Solo",IF(M893="","",M893),IF($B$1="MSolo",IF(M893="","",M893),IF($B$1="Duet",IF(P893="","",P893),IF($B$1="Mixed",IF(S893="","",S893),IF(V893="","",V893))))))</f>
        <v>#N/A</v>
      </c>
      <c r="C394" s="3" t="e">
        <f>IF('Coach Card'!$T$5="",IF($B$1="Solo",IF(N393="","",N393),IF($B$1="MSolo",IF(Q393="","",Q393),IF($B$1="Duet",IF(T393="","",T393),IF($B$1="Mixed",IF(W393="","",W393),IF(Z393="","",Z393))))),IF($B$1="Solo",IF(N893="","",N893),IF($B$1="MSolo",IF(N893="","",N893),IF($B$1="Duet",IF(Q893="","",Q893),IF($B$1="Mixed",IF(T893="","",T893),IF(W893="","",W893))))))</f>
        <v>#N/A</v>
      </c>
      <c r="D394" s="3" t="e">
        <f>IF('Coach Card'!$T$5="",IF($D$1="Team",IF(AG393="","",AG393),""),IF($D$1="Team",IF(AD893="","",AD893),""))</f>
        <v>#N/A</v>
      </c>
      <c r="E394" s="3" t="e">
        <f>IF('Coach Card'!$T$5="",IF($D$1="Team",IF(AH393="","",AH393),""),IF($D$1="Team",IF(AE893="","",AE893),""))</f>
        <v>#N/A</v>
      </c>
      <c r="X394" s="1" t="s">
        <v>1767</v>
      </c>
      <c r="Y394" t="s">
        <v>2085</v>
      </c>
      <c r="Z394" s="3">
        <v>0.435</v>
      </c>
      <c r="AK394" t="s">
        <v>2079</v>
      </c>
      <c r="AL394" t="s">
        <v>1667</v>
      </c>
      <c r="AM394">
        <v>0.5</v>
      </c>
    </row>
    <row r="395" spans="1:39" x14ac:dyDescent="0.35">
      <c r="A395" s="6" t="e">
        <f>IF('Coach Card'!$T$5="",IF($B$1="Solo",IF(L394="","",L394),IF($B$1="MSolo",IF(O394="","",O394),IF($B$1="Duet",IF(R394="","",R394),IF($B$1="Mixed",IF(U394="","",U394),IF(X394="","",X394))))),IF($B$1="Solo",IF(L894="","",L894),IF($B$1="MSolo",IF(L894="","",L894),IF($B$1="Duet",IF(O894="","",O894),IF($B$1="Mixed",IF(R894="","",R894),IF(U894="","",U894))))))</f>
        <v>#N/A</v>
      </c>
      <c r="B395" s="3" t="e">
        <f>IF('Coach Card'!$T$5="",IF($B$1="Solo",IF(M394="","",M394),IF($B$1="MSolo",IF(P394="","",P394),IF($B$1="Duet",IF(S394="","",S394),IF($B$1="Mixed",IF(V394="","",V394),IF(Y394="","",Y394))))),IF($B$1="Solo",IF(M894="","",M894),IF($B$1="MSolo",IF(M894="","",M894),IF($B$1="Duet",IF(P894="","",P894),IF($B$1="Mixed",IF(S894="","",S894),IF(V894="","",V894))))))</f>
        <v>#N/A</v>
      </c>
      <c r="C395" s="3" t="e">
        <f>IF('Coach Card'!$T$5="",IF($B$1="Solo",IF(N394="","",N394),IF($B$1="MSolo",IF(Q394="","",Q394),IF($B$1="Duet",IF(T394="","",T394),IF($B$1="Mixed",IF(W394="","",W394),IF(Z394="","",Z394))))),IF($B$1="Solo",IF(N894="","",N894),IF($B$1="MSolo",IF(N894="","",N894),IF($B$1="Duet",IF(Q894="","",Q894),IF($B$1="Mixed",IF(T894="","",T894),IF(W894="","",W894))))))</f>
        <v>#N/A</v>
      </c>
      <c r="D395" s="3" t="e">
        <f>IF('Coach Card'!$T$5="",IF($D$1="Team",IF(AG394="","",AG394),""),IF($D$1="Team",IF(AD894="","",AD894),""))</f>
        <v>#N/A</v>
      </c>
      <c r="E395" s="3" t="e">
        <f>IF('Coach Card'!$T$5="",IF($D$1="Team",IF(AH394="","",AH394),""),IF($D$1="Team",IF(AE894="","",AE894),""))</f>
        <v>#N/A</v>
      </c>
      <c r="X395" s="1" t="s">
        <v>1767</v>
      </c>
      <c r="Y395" t="s">
        <v>2086</v>
      </c>
      <c r="Z395" s="3">
        <v>0.52500000000000002</v>
      </c>
      <c r="AK395" t="s">
        <v>2080</v>
      </c>
      <c r="AL395" t="s">
        <v>1668</v>
      </c>
      <c r="AM395">
        <v>0.5</v>
      </c>
    </row>
    <row r="396" spans="1:39" x14ac:dyDescent="0.35">
      <c r="A396" s="6" t="e">
        <f>IF('Coach Card'!$T$5="",IF($B$1="Solo",IF(L395="","",L395),IF($B$1="MSolo",IF(O395="","",O395),IF($B$1="Duet",IF(R395="","",R395),IF($B$1="Mixed",IF(U395="","",U395),IF(X395="","",X395))))),IF($B$1="Solo",IF(L895="","",L895),IF($B$1="MSolo",IF(L895="","",L895),IF($B$1="Duet",IF(O895="","",O895),IF($B$1="Mixed",IF(R895="","",R895),IF(U895="","",U895))))))</f>
        <v>#N/A</v>
      </c>
      <c r="B396" s="3" t="e">
        <f>IF('Coach Card'!$T$5="",IF($B$1="Solo",IF(M395="","",M395),IF($B$1="MSolo",IF(P395="","",P395),IF($B$1="Duet",IF(S395="","",S395),IF($B$1="Mixed",IF(V395="","",V395),IF(Y395="","",Y395))))),IF($B$1="Solo",IF(M895="","",M895),IF($B$1="MSolo",IF(M895="","",M895),IF($B$1="Duet",IF(P895="","",P895),IF($B$1="Mixed",IF(S895="","",S895),IF(V895="","",V895))))))</f>
        <v>#N/A</v>
      </c>
      <c r="C396" s="3" t="e">
        <f>IF('Coach Card'!$T$5="",IF($B$1="Solo",IF(N395="","",N395),IF($B$1="MSolo",IF(Q395="","",Q395),IF($B$1="Duet",IF(T395="","",T395),IF($B$1="Mixed",IF(W395="","",W395),IF(Z395="","",Z395))))),IF($B$1="Solo",IF(N895="","",N895),IF($B$1="MSolo",IF(N895="","",N895),IF($B$1="Duet",IF(Q895="","",Q895),IF($B$1="Mixed",IF(T895="","",T895),IF(W895="","",W895))))))</f>
        <v>#N/A</v>
      </c>
      <c r="D396" s="3" t="e">
        <f>IF('Coach Card'!$T$5="",IF($D$1="Team",IF(AG395="","",AG395),""),IF($D$1="Team",IF(AD895="","",AD895),""))</f>
        <v>#N/A</v>
      </c>
      <c r="E396" s="3" t="e">
        <f>IF('Coach Card'!$T$5="",IF($D$1="Team",IF(AH395="","",AH395),""),IF($D$1="Team",IF(AE895="","",AE895),""))</f>
        <v>#N/A</v>
      </c>
      <c r="X396" s="1" t="s">
        <v>1767</v>
      </c>
      <c r="Y396" t="s">
        <v>2087</v>
      </c>
      <c r="Z396" s="3">
        <v>0.24</v>
      </c>
      <c r="AK396" t="s">
        <v>2081</v>
      </c>
      <c r="AL396" t="s">
        <v>1669</v>
      </c>
      <c r="AM396">
        <v>0.5</v>
      </c>
    </row>
    <row r="397" spans="1:39" x14ac:dyDescent="0.35">
      <c r="A397" s="6" t="e">
        <f>IF('Coach Card'!$T$5="",IF($B$1="Solo",IF(L396="","",L396),IF($B$1="MSolo",IF(O396="","",O396),IF($B$1="Duet",IF(R396="","",R396),IF($B$1="Mixed",IF(U396="","",U396),IF(X396="","",X396))))),IF($B$1="Solo",IF(L896="","",L896),IF($B$1="MSolo",IF(L896="","",L896),IF($B$1="Duet",IF(O896="","",O896),IF($B$1="Mixed",IF(R896="","",R896),IF(U896="","",U896))))))</f>
        <v>#N/A</v>
      </c>
      <c r="B397" s="3" t="e">
        <f>IF('Coach Card'!$T$5="",IF($B$1="Solo",IF(M396="","",M396),IF($B$1="MSolo",IF(P396="","",P396),IF($B$1="Duet",IF(S396="","",S396),IF($B$1="Mixed",IF(V396="","",V396),IF(Y396="","",Y396))))),IF($B$1="Solo",IF(M896="","",M896),IF($B$1="MSolo",IF(M896="","",M896),IF($B$1="Duet",IF(P896="","",P896),IF($B$1="Mixed",IF(S896="","",S896),IF(V896="","",V896))))))</f>
        <v>#N/A</v>
      </c>
      <c r="C397" s="3" t="e">
        <f>IF('Coach Card'!$T$5="",IF($B$1="Solo",IF(N396="","",N396),IF($B$1="MSolo",IF(Q396="","",Q396),IF($B$1="Duet",IF(T396="","",T396),IF($B$1="Mixed",IF(W396="","",W396),IF(Z396="","",Z396))))),IF($B$1="Solo",IF(N896="","",N896),IF($B$1="MSolo",IF(N896="","",N896),IF($B$1="Duet",IF(Q896="","",Q896),IF($B$1="Mixed",IF(T896="","",T896),IF(W896="","",W896))))))</f>
        <v>#N/A</v>
      </c>
      <c r="D397" s="3" t="e">
        <f>IF('Coach Card'!$T$5="",IF($D$1="Team",IF(AG396="","",AG396),""),IF($D$1="Team",IF(AD896="","",AD896),""))</f>
        <v>#N/A</v>
      </c>
      <c r="E397" s="3" t="e">
        <f>IF('Coach Card'!$T$5="",IF($D$1="Team",IF(AH396="","",AH396),""),IF($D$1="Team",IF(AE896="","",AE896),""))</f>
        <v>#N/A</v>
      </c>
      <c r="X397" s="1" t="s">
        <v>1767</v>
      </c>
      <c r="Y397" t="s">
        <v>2088</v>
      </c>
      <c r="Z397" s="3">
        <v>0.46499999999999997</v>
      </c>
      <c r="AK397" t="s">
        <v>2082</v>
      </c>
      <c r="AL397" t="s">
        <v>1670</v>
      </c>
      <c r="AM397">
        <v>0.5</v>
      </c>
    </row>
    <row r="398" spans="1:39" x14ac:dyDescent="0.35">
      <c r="A398" s="6" t="e">
        <f>IF('Coach Card'!$T$5="",IF($B$1="Solo",IF(L397="","",L397),IF($B$1="MSolo",IF(O397="","",O397),IF($B$1="Duet",IF(R397="","",R397),IF($B$1="Mixed",IF(U397="","",U397),IF(X397="","",X397))))),IF($B$1="Solo",IF(L897="","",L897),IF($B$1="MSolo",IF(L897="","",L897),IF($B$1="Duet",IF(O897="","",O897),IF($B$1="Mixed",IF(R897="","",R897),IF(U897="","",U897))))))</f>
        <v>#N/A</v>
      </c>
      <c r="B398" s="3" t="e">
        <f>IF('Coach Card'!$T$5="",IF($B$1="Solo",IF(M397="","",M397),IF($B$1="MSolo",IF(P397="","",P397),IF($B$1="Duet",IF(S397="","",S397),IF($B$1="Mixed",IF(V397="","",V397),IF(Y397="","",Y397))))),IF($B$1="Solo",IF(M897="","",M897),IF($B$1="MSolo",IF(M897="","",M897),IF($B$1="Duet",IF(P897="","",P897),IF($B$1="Mixed",IF(S897="","",S897),IF(V897="","",V897))))))</f>
        <v>#N/A</v>
      </c>
      <c r="C398" s="3" t="e">
        <f>IF('Coach Card'!$T$5="",IF($B$1="Solo",IF(N397="","",N397),IF($B$1="MSolo",IF(Q397="","",Q397),IF($B$1="Duet",IF(T397="","",T397),IF($B$1="Mixed",IF(W397="","",W397),IF(Z397="","",Z397))))),IF($B$1="Solo",IF(N897="","",N897),IF($B$1="MSolo",IF(N897="","",N897),IF($B$1="Duet",IF(Q897="","",Q897),IF($B$1="Mixed",IF(T897="","",T897),IF(W897="","",W897))))))</f>
        <v>#N/A</v>
      </c>
      <c r="D398" s="3" t="e">
        <f>IF('Coach Card'!$T$5="",IF($D$1="Team",IF(AG397="","",AG397),""),IF($D$1="Team",IF(AD897="","",AD897),""))</f>
        <v>#N/A</v>
      </c>
      <c r="E398" s="3" t="e">
        <f>IF('Coach Card'!$T$5="",IF($D$1="Team",IF(AH397="","",AH397),""),IF($D$1="Team",IF(AE897="","",AE897),""))</f>
        <v>#N/A</v>
      </c>
      <c r="X398" s="1" t="s">
        <v>1767</v>
      </c>
      <c r="Y398" t="s">
        <v>2089</v>
      </c>
      <c r="Z398" s="3">
        <v>0.58499999999999996</v>
      </c>
      <c r="AK398" t="s">
        <v>2083</v>
      </c>
      <c r="AL398" t="s">
        <v>58</v>
      </c>
      <c r="AM398">
        <v>0.5</v>
      </c>
    </row>
    <row r="399" spans="1:39" x14ac:dyDescent="0.35">
      <c r="A399" s="6" t="e">
        <f>IF('Coach Card'!$T$5="",IF($B$1="Solo",IF(L398="","",L398),IF($B$1="MSolo",IF(O398="","",O398),IF($B$1="Duet",IF(R398="","",R398),IF($B$1="Mixed",IF(U398="","",U398),IF(X398="","",X398))))),IF($B$1="Solo",IF(L898="","",L898),IF($B$1="MSolo",IF(L898="","",L898),IF($B$1="Duet",IF(O898="","",O898),IF($B$1="Mixed",IF(R898="","",R898),IF(U898="","",U898))))))</f>
        <v>#N/A</v>
      </c>
      <c r="B399" s="3" t="e">
        <f>IF('Coach Card'!$T$5="",IF($B$1="Solo",IF(M398="","",M398),IF($B$1="MSolo",IF(P398="","",P398),IF($B$1="Duet",IF(S398="","",S398),IF($B$1="Mixed",IF(V398="","",V398),IF(Y398="","",Y398))))),IF($B$1="Solo",IF(M898="","",M898),IF($B$1="MSolo",IF(M898="","",M898),IF($B$1="Duet",IF(P898="","",P898),IF($B$1="Mixed",IF(S898="","",S898),IF(V898="","",V898))))))</f>
        <v>#N/A</v>
      </c>
      <c r="C399" s="3" t="e">
        <f>IF('Coach Card'!$T$5="",IF($B$1="Solo",IF(N398="","",N398),IF($B$1="MSolo",IF(Q398="","",Q398),IF($B$1="Duet",IF(T398="","",T398),IF($B$1="Mixed",IF(W398="","",W398),IF(Z398="","",Z398))))),IF($B$1="Solo",IF(N898="","",N898),IF($B$1="MSolo",IF(N898="","",N898),IF($B$1="Duet",IF(Q898="","",Q898),IF($B$1="Mixed",IF(T898="","",T898),IF(W898="","",W898))))))</f>
        <v>#N/A</v>
      </c>
      <c r="D399" s="3" t="e">
        <f>IF('Coach Card'!$T$5="",IF($D$1="Team",IF(AG398="","",AG398),""),IF($D$1="Team",IF(AD898="","",AD898),""))</f>
        <v>#N/A</v>
      </c>
      <c r="E399" s="3" t="e">
        <f>IF('Coach Card'!$T$5="",IF($D$1="Team",IF(AH398="","",AH398),""),IF($D$1="Team",IF(AE898="","",AE898),""))</f>
        <v>#N/A</v>
      </c>
      <c r="X399" s="1" t="s">
        <v>1767</v>
      </c>
      <c r="Y399" t="s">
        <v>2090</v>
      </c>
      <c r="Z399" s="3">
        <v>0.64499999999999991</v>
      </c>
      <c r="AK399" t="s">
        <v>2084</v>
      </c>
      <c r="AL399" t="s">
        <v>1671</v>
      </c>
      <c r="AM399">
        <v>0.5</v>
      </c>
    </row>
    <row r="400" spans="1:39" x14ac:dyDescent="0.35">
      <c r="A400" s="6" t="e">
        <f>IF('Coach Card'!$T$5="",IF($B$1="Solo",IF(L399="","",L399),IF($B$1="MSolo",IF(O399="","",O399),IF($B$1="Duet",IF(R399="","",R399),IF($B$1="Mixed",IF(U399="","",U399),IF(X399="","",X399))))),IF($B$1="Solo",IF(L899="","",L899),IF($B$1="MSolo",IF(L899="","",L899),IF($B$1="Duet",IF(O899="","",O899),IF($B$1="Mixed",IF(R899="","",R899),IF(U899="","",U899))))))</f>
        <v>#N/A</v>
      </c>
      <c r="B400" s="3" t="e">
        <f>IF('Coach Card'!$T$5="",IF($B$1="Solo",IF(M399="","",M399),IF($B$1="MSolo",IF(P399="","",P399),IF($B$1="Duet",IF(S399="","",S399),IF($B$1="Mixed",IF(V399="","",V399),IF(Y399="","",Y399))))),IF($B$1="Solo",IF(M899="","",M899),IF($B$1="MSolo",IF(M899="","",M899),IF($B$1="Duet",IF(P899="","",P899),IF($B$1="Mixed",IF(S899="","",S899),IF(V899="","",V899))))))</f>
        <v>#N/A</v>
      </c>
      <c r="C400" s="3" t="e">
        <f>IF('Coach Card'!$T$5="",IF($B$1="Solo",IF(N399="","",N399),IF($B$1="MSolo",IF(Q399="","",Q399),IF($B$1="Duet",IF(T399="","",T399),IF($B$1="Mixed",IF(W399="","",W399),IF(Z399="","",Z399))))),IF($B$1="Solo",IF(N899="","",N899),IF($B$1="MSolo",IF(N899="","",N899),IF($B$1="Duet",IF(Q899="","",Q899),IF($B$1="Mixed",IF(T899="","",T899),IF(W899="","",W899))))))</f>
        <v>#N/A</v>
      </c>
      <c r="D400" s="3" t="e">
        <f>IF('Coach Card'!$T$5="",IF($D$1="Team",IF(AG399="","",AG399),""),IF($D$1="Team",IF(AD899="","",AD899),""))</f>
        <v>#N/A</v>
      </c>
      <c r="E400" s="3" t="e">
        <f>IF('Coach Card'!$T$5="",IF($D$1="Team",IF(AH399="","",AH399),""),IF($D$1="Team",IF(AE899="","",AE899),""))</f>
        <v>#N/A</v>
      </c>
      <c r="X400" s="1" t="s">
        <v>1767</v>
      </c>
      <c r="Y400" t="s">
        <v>2091</v>
      </c>
      <c r="Z400" s="3">
        <v>0.70499999999999996</v>
      </c>
      <c r="AK400" t="s">
        <v>2085</v>
      </c>
      <c r="AL400" t="s">
        <v>1672</v>
      </c>
      <c r="AM400">
        <v>0.5</v>
      </c>
    </row>
    <row r="401" spans="1:39" x14ac:dyDescent="0.35">
      <c r="A401" s="6" t="e">
        <f>IF('Coach Card'!$T$5="",IF($B$1="Solo",IF(L400="","",L400),IF($B$1="MSolo",IF(O400="","",O400),IF($B$1="Duet",IF(R400="","",R400),IF($B$1="Mixed",IF(U400="","",U400),IF(X400="","",X400))))),IF($B$1="Solo",IF(L900="","",L900),IF($B$1="MSolo",IF(L900="","",L900),IF($B$1="Duet",IF(O900="","",O900),IF($B$1="Mixed",IF(R900="","",R900),IF(U900="","",U900))))))</f>
        <v>#N/A</v>
      </c>
      <c r="B401" s="3" t="e">
        <f>IF('Coach Card'!$T$5="",IF($B$1="Solo",IF(M400="","",M400),IF($B$1="MSolo",IF(P400="","",P400),IF($B$1="Duet",IF(S400="","",S400),IF($B$1="Mixed",IF(V400="","",V400),IF(Y400="","",Y400))))),IF($B$1="Solo",IF(M900="","",M900),IF($B$1="MSolo",IF(M900="","",M900),IF($B$1="Duet",IF(P900="","",P900),IF($B$1="Mixed",IF(S900="","",S900),IF(V900="","",V900))))))</f>
        <v>#N/A</v>
      </c>
      <c r="C401" s="3" t="e">
        <f>IF('Coach Card'!$T$5="",IF($B$1="Solo",IF(N400="","",N400),IF($B$1="MSolo",IF(Q400="","",Q400),IF($B$1="Duet",IF(T400="","",T400),IF($B$1="Mixed",IF(W400="","",W400),IF(Z400="","",Z400))))),IF($B$1="Solo",IF(N900="","",N900),IF($B$1="MSolo",IF(N900="","",N900),IF($B$1="Duet",IF(Q900="","",Q900),IF($B$1="Mixed",IF(T900="","",T900),IF(W900="","",W900))))))</f>
        <v>#N/A</v>
      </c>
      <c r="D401" s="3" t="e">
        <f>IF('Coach Card'!$T$5="",IF($D$1="Team",IF(AG400="","",AG400),""),IF($D$1="Team",IF(AD900="","",AD900),""))</f>
        <v>#N/A</v>
      </c>
      <c r="E401" s="3" t="e">
        <f>IF('Coach Card'!$T$5="",IF($D$1="Team",IF(AH400="","",AH400),""),IF($D$1="Team",IF(AE900="","",AE900),""))</f>
        <v>#N/A</v>
      </c>
      <c r="X401" s="1" t="s">
        <v>1767</v>
      </c>
      <c r="Y401" t="s">
        <v>2092</v>
      </c>
      <c r="Z401" s="3">
        <v>0.58499999999999996</v>
      </c>
      <c r="AK401" t="s">
        <v>2086</v>
      </c>
      <c r="AL401" t="s">
        <v>1673</v>
      </c>
      <c r="AM401">
        <v>0.5</v>
      </c>
    </row>
    <row r="402" spans="1:39" x14ac:dyDescent="0.35">
      <c r="A402" s="6" t="e">
        <f>IF('Coach Card'!$T$5="",IF($B$1="Solo",IF(L401="","",L401),IF($B$1="MSolo",IF(O401="","",O401),IF($B$1="Duet",IF(R401="","",R401),IF($B$1="Mixed",IF(U401="","",U401),IF(X401="","",X401))))),IF($B$1="Solo",IF(L901="","",L901),IF($B$1="MSolo",IF(L901="","",L901),IF($B$1="Duet",IF(O901="","",O901),IF($B$1="Mixed",IF(R901="","",R901),IF(U901="","",U901))))))</f>
        <v>#N/A</v>
      </c>
      <c r="B402" s="3" t="e">
        <f>IF('Coach Card'!$T$5="",IF($B$1="Solo",IF(M401="","",M401),IF($B$1="MSolo",IF(P401="","",P401),IF($B$1="Duet",IF(S401="","",S401),IF($B$1="Mixed",IF(V401="","",V401),IF(Y401="","",Y401))))),IF($B$1="Solo",IF(M901="","",M901),IF($B$1="MSolo",IF(M901="","",M901),IF($B$1="Duet",IF(P901="","",P901),IF($B$1="Mixed",IF(S901="","",S901),IF(V901="","",V901))))))</f>
        <v>#N/A</v>
      </c>
      <c r="C402" s="3" t="e">
        <f>IF('Coach Card'!$T$5="",IF($B$1="Solo",IF(N401="","",N401),IF($B$1="MSolo",IF(Q401="","",Q401),IF($B$1="Duet",IF(T401="","",T401),IF($B$1="Mixed",IF(W401="","",W401),IF(Z401="","",Z401))))),IF($B$1="Solo",IF(N901="","",N901),IF($B$1="MSolo",IF(N901="","",N901),IF($B$1="Duet",IF(Q901="","",Q901),IF($B$1="Mixed",IF(T901="","",T901),IF(W901="","",W901))))))</f>
        <v>#N/A</v>
      </c>
      <c r="D402" s="3" t="e">
        <f>IF('Coach Card'!$T$5="",IF($D$1="Team",IF(AG401="","",AG401),""),IF($D$1="Team",IF(AD901="","",AD901),""))</f>
        <v>#N/A</v>
      </c>
      <c r="E402" s="3" t="e">
        <f>IF('Coach Card'!$T$5="",IF($D$1="Team",IF(AH401="","",AH401),""),IF($D$1="Team",IF(AE901="","",AE901),""))</f>
        <v>#N/A</v>
      </c>
      <c r="X402" s="1" t="s">
        <v>1767</v>
      </c>
      <c r="Y402" t="s">
        <v>2093</v>
      </c>
      <c r="Z402" s="3">
        <v>0.73499999999999999</v>
      </c>
      <c r="AK402" t="s">
        <v>2087</v>
      </c>
      <c r="AL402" t="s">
        <v>59</v>
      </c>
      <c r="AM402">
        <v>0.5</v>
      </c>
    </row>
    <row r="403" spans="1:39" x14ac:dyDescent="0.35">
      <c r="A403" s="6" t="e">
        <f>IF('Coach Card'!$T$5="",IF($B$1="Solo",IF(L402="","",L402),IF($B$1="MSolo",IF(O402="","",O402),IF($B$1="Duet",IF(R402="","",R402),IF($B$1="Mixed",IF(U402="","",U402),IF(X402="","",X402))))),IF($B$1="Solo",IF(L902="","",L902),IF($B$1="MSolo",IF(L902="","",L902),IF($B$1="Duet",IF(O902="","",O902),IF($B$1="Mixed",IF(R902="","",R902),IF(U902="","",U902))))))</f>
        <v>#N/A</v>
      </c>
      <c r="B403" s="3" t="e">
        <f>IF('Coach Card'!$T$5="",IF($B$1="Solo",IF(M402="","",M402),IF($B$1="MSolo",IF(P402="","",P402),IF($B$1="Duet",IF(S402="","",S402),IF($B$1="Mixed",IF(V402="","",V402),IF(Y402="","",Y402))))),IF($B$1="Solo",IF(M902="","",M902),IF($B$1="MSolo",IF(M902="","",M902),IF($B$1="Duet",IF(P902="","",P902),IF($B$1="Mixed",IF(S902="","",S902),IF(V902="","",V902))))))</f>
        <v>#N/A</v>
      </c>
      <c r="C403" s="3" t="e">
        <f>IF('Coach Card'!$T$5="",IF($B$1="Solo",IF(N402="","",N402),IF($B$1="MSolo",IF(Q402="","",Q402),IF($B$1="Duet",IF(T402="","",T402),IF($B$1="Mixed",IF(W402="","",W402),IF(Z402="","",Z402))))),IF($B$1="Solo",IF(N902="","",N902),IF($B$1="MSolo",IF(N902="","",N902),IF($B$1="Duet",IF(Q902="","",Q902),IF($B$1="Mixed",IF(T902="","",T902),IF(W902="","",W902))))))</f>
        <v>#N/A</v>
      </c>
      <c r="D403" s="3" t="e">
        <f>IF('Coach Card'!$T$5="",IF($D$1="Team",IF(AG402="","",AG402),""),IF($D$1="Team",IF(AD902="","",AD902),""))</f>
        <v>#N/A</v>
      </c>
      <c r="E403" s="3" t="e">
        <f>IF('Coach Card'!$T$5="",IF($D$1="Team",IF(AH402="","",AH402),""),IF($D$1="Team",IF(AE902="","",AE902),""))</f>
        <v>#N/A</v>
      </c>
      <c r="X403" s="1" t="s">
        <v>1767</v>
      </c>
      <c r="Y403" t="s">
        <v>2094</v>
      </c>
      <c r="Z403" s="3">
        <v>0.88500000000000001</v>
      </c>
      <c r="AK403" t="s">
        <v>2088</v>
      </c>
      <c r="AL403" t="s">
        <v>1674</v>
      </c>
      <c r="AM403">
        <v>0.5</v>
      </c>
    </row>
    <row r="404" spans="1:39" x14ac:dyDescent="0.35">
      <c r="A404" s="6" t="e">
        <f>IF('Coach Card'!$T$5="",IF($B$1="Solo",IF(L403="","",L403),IF($B$1="MSolo",IF(O403="","",O403),IF($B$1="Duet",IF(R403="","",R403),IF($B$1="Mixed",IF(U403="","",U403),IF(X403="","",X403))))),IF($B$1="Solo",IF(L903="","",L903),IF($B$1="MSolo",IF(L903="","",L903),IF($B$1="Duet",IF(O903="","",O903),IF($B$1="Mixed",IF(R903="","",R903),IF(U903="","",U903))))))</f>
        <v>#N/A</v>
      </c>
      <c r="B404" s="3" t="e">
        <f>IF('Coach Card'!$T$5="",IF($B$1="Solo",IF(M403="","",M403),IF($B$1="MSolo",IF(P403="","",P403),IF($B$1="Duet",IF(S403="","",S403),IF($B$1="Mixed",IF(V403="","",V403),IF(Y403="","",Y403))))),IF($B$1="Solo",IF(M903="","",M903),IF($B$1="MSolo",IF(M903="","",M903),IF($B$1="Duet",IF(P903="","",P903),IF($B$1="Mixed",IF(S903="","",S903),IF(V903="","",V903))))))</f>
        <v>#N/A</v>
      </c>
      <c r="C404" s="3" t="e">
        <f>IF('Coach Card'!$T$5="",IF($B$1="Solo",IF(N403="","",N403),IF($B$1="MSolo",IF(Q403="","",Q403),IF($B$1="Duet",IF(T403="","",T403),IF($B$1="Mixed",IF(W403="","",W403),IF(Z403="","",Z403))))),IF($B$1="Solo",IF(N903="","",N903),IF($B$1="MSolo",IF(N903="","",N903),IF($B$1="Duet",IF(Q903="","",Q903),IF($B$1="Mixed",IF(T903="","",T903),IF(W903="","",W903))))))</f>
        <v>#N/A</v>
      </c>
      <c r="D404" s="3" t="e">
        <f>IF('Coach Card'!$T$5="",IF($D$1="Team",IF(AG403="","",AG403),""),IF($D$1="Team",IF(AD903="","",AD903),""))</f>
        <v>#N/A</v>
      </c>
      <c r="E404" s="3" t="e">
        <f>IF('Coach Card'!$T$5="",IF($D$1="Team",IF(AH403="","",AH403),""),IF($D$1="Team",IF(AE903="","",AE903),""))</f>
        <v>#N/A</v>
      </c>
      <c r="X404" s="1" t="s">
        <v>1767</v>
      </c>
      <c r="Y404" t="s">
        <v>2095</v>
      </c>
      <c r="Z404" s="3">
        <v>0.70499999999999996</v>
      </c>
      <c r="AK404" t="s">
        <v>2089</v>
      </c>
      <c r="AL404" t="s">
        <v>1675</v>
      </c>
      <c r="AM404">
        <v>0.5</v>
      </c>
    </row>
    <row r="405" spans="1:39" x14ac:dyDescent="0.35">
      <c r="A405" s="6" t="e">
        <f>IF('Coach Card'!$T$5="",IF($B$1="Solo",IF(L404="","",L404),IF($B$1="MSolo",IF(O404="","",O404),IF($B$1="Duet",IF(R404="","",R404),IF($B$1="Mixed",IF(U404="","",U404),IF(X404="","",X404))))),IF($B$1="Solo",IF(L904="","",L904),IF($B$1="MSolo",IF(L904="","",L904),IF($B$1="Duet",IF(O904="","",O904),IF($B$1="Mixed",IF(R904="","",R904),IF(U904="","",U904))))))</f>
        <v>#N/A</v>
      </c>
      <c r="B405" s="3" t="e">
        <f>IF('Coach Card'!$T$5="",IF($B$1="Solo",IF(M404="","",M404),IF($B$1="MSolo",IF(P404="","",P404),IF($B$1="Duet",IF(S404="","",S404),IF($B$1="Mixed",IF(V404="","",V404),IF(Y404="","",Y404))))),IF($B$1="Solo",IF(M904="","",M904),IF($B$1="MSolo",IF(M904="","",M904),IF($B$1="Duet",IF(P904="","",P904),IF($B$1="Mixed",IF(S904="","",S904),IF(V904="","",V904))))))</f>
        <v>#N/A</v>
      </c>
      <c r="C405" s="3" t="e">
        <f>IF('Coach Card'!$T$5="",IF($B$1="Solo",IF(N404="","",N404),IF($B$1="MSolo",IF(Q404="","",Q404),IF($B$1="Duet",IF(T404="","",T404),IF($B$1="Mixed",IF(W404="","",W404),IF(Z404="","",Z404))))),IF($B$1="Solo",IF(N904="","",N904),IF($B$1="MSolo",IF(N904="","",N904),IF($B$1="Duet",IF(Q904="","",Q904),IF($B$1="Mixed",IF(T904="","",T904),IF(W904="","",W904))))))</f>
        <v>#N/A</v>
      </c>
      <c r="D405" s="3" t="e">
        <f>IF('Coach Card'!$T$5="",IF($D$1="Team",IF(AG404="","",AG404),""),IF($D$1="Team",IF(AD904="","",AD904),""))</f>
        <v>#N/A</v>
      </c>
      <c r="E405" s="3" t="e">
        <f>IF('Coach Card'!$T$5="",IF($D$1="Team",IF(AH404="","",AH404),""),IF($D$1="Team",IF(AE904="","",AE904),""))</f>
        <v>#N/A</v>
      </c>
      <c r="X405" s="1" t="s">
        <v>1767</v>
      </c>
      <c r="Y405" t="s">
        <v>2096</v>
      </c>
      <c r="Z405" s="3">
        <v>0.88500000000000001</v>
      </c>
      <c r="AK405" t="s">
        <v>2090</v>
      </c>
      <c r="AL405" t="s">
        <v>1676</v>
      </c>
      <c r="AM405">
        <v>0.5</v>
      </c>
    </row>
    <row r="406" spans="1:39" x14ac:dyDescent="0.35">
      <c r="A406" s="6" t="e">
        <f>IF('Coach Card'!$T$5="",IF($B$1="Solo",IF(L405="","",L405),IF($B$1="MSolo",IF(O405="","",O405),IF($B$1="Duet",IF(R405="","",R405),IF($B$1="Mixed",IF(U405="","",U405),IF(X405="","",X405))))),IF($B$1="Solo",IF(L905="","",L905),IF($B$1="MSolo",IF(L905="","",L905),IF($B$1="Duet",IF(O905="","",O905),IF($B$1="Mixed",IF(R905="","",R905),IF(U905="","",U905))))))</f>
        <v>#N/A</v>
      </c>
      <c r="B406" s="3" t="e">
        <f>IF('Coach Card'!$T$5="",IF($B$1="Solo",IF(M405="","",M405),IF($B$1="MSolo",IF(P405="","",P405),IF($B$1="Duet",IF(S405="","",S405),IF($B$1="Mixed",IF(V405="","",V405),IF(Y405="","",Y405))))),IF($B$1="Solo",IF(M905="","",M905),IF($B$1="MSolo",IF(M905="","",M905),IF($B$1="Duet",IF(P905="","",P905),IF($B$1="Mixed",IF(S905="","",S905),IF(V905="","",V905))))))</f>
        <v>#N/A</v>
      </c>
      <c r="C406" s="3" t="e">
        <f>IF('Coach Card'!$T$5="",IF($B$1="Solo",IF(N405="","",N405),IF($B$1="MSolo",IF(Q405="","",Q405),IF($B$1="Duet",IF(T405="","",T405),IF($B$1="Mixed",IF(W405="","",W405),IF(Z405="","",Z405))))),IF($B$1="Solo",IF(N905="","",N905),IF($B$1="MSolo",IF(N905="","",N905),IF($B$1="Duet",IF(Q905="","",Q905),IF($B$1="Mixed",IF(T905="","",T905),IF(W905="","",W905))))))</f>
        <v>#N/A</v>
      </c>
      <c r="D406" s="3" t="e">
        <f>IF('Coach Card'!$T$5="",IF($D$1="Team",IF(AG405="","",AG405),""),IF($D$1="Team",IF(AD905="","",AD905),""))</f>
        <v>#N/A</v>
      </c>
      <c r="E406" s="3" t="e">
        <f>IF('Coach Card'!$T$5="",IF($D$1="Team",IF(AH405="","",AH405),""),IF($D$1="Team",IF(AE905="","",AE905),""))</f>
        <v>#N/A</v>
      </c>
      <c r="X406" s="1" t="s">
        <v>1767</v>
      </c>
      <c r="Y406" t="s">
        <v>2097</v>
      </c>
      <c r="Z406" s="3">
        <v>1.0049999999999999</v>
      </c>
      <c r="AK406" t="s">
        <v>2091</v>
      </c>
      <c r="AL406" t="s">
        <v>1677</v>
      </c>
      <c r="AM406">
        <v>0.5</v>
      </c>
    </row>
    <row r="407" spans="1:39" x14ac:dyDescent="0.35">
      <c r="A407" s="6" t="e">
        <f>IF('Coach Card'!$T$5="",IF($B$1="Solo",IF(L406="","",L406),IF($B$1="MSolo",IF(O406="","",O406),IF($B$1="Duet",IF(R406="","",R406),IF($B$1="Mixed",IF(U406="","",U406),IF(X406="","",X406))))),IF($B$1="Solo",IF(L906="","",L906),IF($B$1="MSolo",IF(L906="","",L906),IF($B$1="Duet",IF(O906="","",O906),IF($B$1="Mixed",IF(R906="","",R906),IF(U906="","",U906))))))</f>
        <v>#N/A</v>
      </c>
      <c r="B407" s="3" t="e">
        <f>IF('Coach Card'!$T$5="",IF($B$1="Solo",IF(M406="","",M406),IF($B$1="MSolo",IF(P406="","",P406),IF($B$1="Duet",IF(S406="","",S406),IF($B$1="Mixed",IF(V406="","",V406),IF(Y406="","",Y406))))),IF($B$1="Solo",IF(M906="","",M906),IF($B$1="MSolo",IF(M906="","",M906),IF($B$1="Duet",IF(P906="","",P906),IF($B$1="Mixed",IF(S906="","",S906),IF(V906="","",V906))))))</f>
        <v>#N/A</v>
      </c>
      <c r="C407" s="3" t="e">
        <f>IF('Coach Card'!$T$5="",IF($B$1="Solo",IF(N406="","",N406),IF($B$1="MSolo",IF(Q406="","",Q406),IF($B$1="Duet",IF(T406="","",T406),IF($B$1="Mixed",IF(W406="","",W406),IF(Z406="","",Z406))))),IF($B$1="Solo",IF(N906="","",N906),IF($B$1="MSolo",IF(N906="","",N906),IF($B$1="Duet",IF(Q906="","",Q906),IF($B$1="Mixed",IF(T906="","",T906),IF(W906="","",W906))))))</f>
        <v>#N/A</v>
      </c>
      <c r="D407" s="3" t="e">
        <f>IF('Coach Card'!$T$5="",IF($D$1="Team",IF(AG406="","",AG406),""),IF($D$1="Team",IF(AD906="","",AD906),""))</f>
        <v>#N/A</v>
      </c>
      <c r="E407" s="3" t="e">
        <f>IF('Coach Card'!$T$5="",IF($D$1="Team",IF(AH406="","",AH406),""),IF($D$1="Team",IF(AE906="","",AE906),""))</f>
        <v>#N/A</v>
      </c>
      <c r="X407" s="1" t="s">
        <v>1767</v>
      </c>
      <c r="Y407" t="s">
        <v>2098</v>
      </c>
      <c r="Z407" s="3">
        <v>1.0649999999999999</v>
      </c>
      <c r="AK407" t="s">
        <v>2092</v>
      </c>
      <c r="AL407" t="s">
        <v>1678</v>
      </c>
      <c r="AM407">
        <v>0.5</v>
      </c>
    </row>
    <row r="408" spans="1:39" x14ac:dyDescent="0.35">
      <c r="A408" s="6" t="e">
        <f>IF('Coach Card'!$T$5="",IF($B$1="Solo",IF(L407="","",L407),IF($B$1="MSolo",IF(O407="","",O407),IF($B$1="Duet",IF(R407="","",R407),IF($B$1="Mixed",IF(U407="","",U407),IF(X407="","",X407))))),IF($B$1="Solo",IF(L907="","",L907),IF($B$1="MSolo",IF(L907="","",L907),IF($B$1="Duet",IF(O907="","",O907),IF($B$1="Mixed",IF(R907="","",R907),IF(U907="","",U907))))))</f>
        <v>#N/A</v>
      </c>
      <c r="B408" s="3" t="e">
        <f>IF('Coach Card'!$T$5="",IF($B$1="Solo",IF(M407="","",M407),IF($B$1="MSolo",IF(P407="","",P407),IF($B$1="Duet",IF(S407="","",S407),IF($B$1="Mixed",IF(V407="","",V407),IF(Y407="","",Y407))))),IF($B$1="Solo",IF(M907="","",M907),IF($B$1="MSolo",IF(M907="","",M907),IF($B$1="Duet",IF(P907="","",P907),IF($B$1="Mixed",IF(S907="","",S907),IF(V907="","",V907))))))</f>
        <v>#N/A</v>
      </c>
      <c r="C408" s="3" t="e">
        <f>IF('Coach Card'!$T$5="",IF($B$1="Solo",IF(N407="","",N407),IF($B$1="MSolo",IF(Q407="","",Q407),IF($B$1="Duet",IF(T407="","",T407),IF($B$1="Mixed",IF(W407="","",W407),IF(Z407="","",Z407))))),IF($B$1="Solo",IF(N907="","",N907),IF($B$1="MSolo",IF(N907="","",N907),IF($B$1="Duet",IF(Q907="","",Q907),IF($B$1="Mixed",IF(T907="","",T907),IF(W907="","",W907))))))</f>
        <v>#N/A</v>
      </c>
      <c r="D408" s="3" t="e">
        <f>IF('Coach Card'!$T$5="",IF($D$1="Team",IF(AG407="","",AG407),""),IF($D$1="Team",IF(AD907="","",AD907),""))</f>
        <v>#N/A</v>
      </c>
      <c r="E408" s="3" t="e">
        <f>IF('Coach Card'!$T$5="",IF($D$1="Team",IF(AH407="","",AH407),""),IF($D$1="Team",IF(AE907="","",AE907),""))</f>
        <v>#N/A</v>
      </c>
      <c r="X408" s="1" t="s">
        <v>1767</v>
      </c>
      <c r="Y408" t="s">
        <v>2099</v>
      </c>
      <c r="Z408" s="3">
        <v>1.0349999999999999</v>
      </c>
      <c r="AK408" t="s">
        <v>2093</v>
      </c>
      <c r="AL408" t="s">
        <v>1679</v>
      </c>
      <c r="AM408">
        <v>0.5</v>
      </c>
    </row>
    <row r="409" spans="1:39" x14ac:dyDescent="0.35">
      <c r="A409" s="6" t="e">
        <f>IF('Coach Card'!$T$5="",IF($B$1="Solo",IF(L408="","",L408),IF($B$1="MSolo",IF(O408="","",O408),IF($B$1="Duet",IF(R408="","",R408),IF($B$1="Mixed",IF(U408="","",U408),IF(X408="","",X408))))),IF($B$1="Solo",IF(L908="","",L908),IF($B$1="MSolo",IF(L908="","",L908),IF($B$1="Duet",IF(O908="","",O908),IF($B$1="Mixed",IF(R908="","",R908),IF(U908="","",U908))))))</f>
        <v>#N/A</v>
      </c>
      <c r="B409" s="3" t="e">
        <f>IF('Coach Card'!$T$5="",IF($B$1="Solo",IF(M408="","",M408),IF($B$1="MSolo",IF(P408="","",P408),IF($B$1="Duet",IF(S408="","",S408),IF($B$1="Mixed",IF(V408="","",V408),IF(Y408="","",Y408))))),IF($B$1="Solo",IF(M908="","",M908),IF($B$1="MSolo",IF(M908="","",M908),IF($B$1="Duet",IF(P908="","",P908),IF($B$1="Mixed",IF(S908="","",S908),IF(V908="","",V908))))))</f>
        <v>#N/A</v>
      </c>
      <c r="C409" s="3" t="e">
        <f>IF('Coach Card'!$T$5="",IF($B$1="Solo",IF(N408="","",N408),IF($B$1="MSolo",IF(Q408="","",Q408),IF($B$1="Duet",IF(T408="","",T408),IF($B$1="Mixed",IF(W408="","",W408),IF(Z408="","",Z408))))),IF($B$1="Solo",IF(N908="","",N908),IF($B$1="MSolo",IF(N908="","",N908),IF($B$1="Duet",IF(Q908="","",Q908),IF($B$1="Mixed",IF(T908="","",T908),IF(W908="","",W908))))))</f>
        <v>#N/A</v>
      </c>
      <c r="D409" s="3" t="e">
        <f>IF('Coach Card'!$T$5="",IF($D$1="Team",IF(AG408="","",AG408),""),IF($D$1="Team",IF(AD908="","",AD908),""))</f>
        <v>#N/A</v>
      </c>
      <c r="E409" s="3" t="e">
        <f>IF('Coach Card'!$T$5="",IF($D$1="Team",IF(AH408="","",AH408),""),IF($D$1="Team",IF(AE908="","",AE908),""))</f>
        <v>#N/A</v>
      </c>
      <c r="X409" s="1" t="s">
        <v>1767</v>
      </c>
      <c r="Y409" t="s">
        <v>2100</v>
      </c>
      <c r="Z409" s="3">
        <v>1.2450000000000001</v>
      </c>
      <c r="AK409" t="s">
        <v>2094</v>
      </c>
      <c r="AL409" t="s">
        <v>1680</v>
      </c>
      <c r="AM409">
        <v>0.5</v>
      </c>
    </row>
    <row r="410" spans="1:39" x14ac:dyDescent="0.35">
      <c r="A410" s="6" t="e">
        <f>IF('Coach Card'!$T$5="",IF($B$1="Solo",IF(L409="","",L409),IF($B$1="MSolo",IF(O409="","",O409),IF($B$1="Duet",IF(R409="","",R409),IF($B$1="Mixed",IF(U409="","",U409),IF(X409="","",X409))))),IF($B$1="Solo",IF(L909="","",L909),IF($B$1="MSolo",IF(L909="","",L909),IF($B$1="Duet",IF(O909="","",O909),IF($B$1="Mixed",IF(R909="","",R909),IF(U909="","",U909))))))</f>
        <v>#N/A</v>
      </c>
      <c r="B410" s="3" t="e">
        <f>IF('Coach Card'!$T$5="",IF($B$1="Solo",IF(M409="","",M409),IF($B$1="MSolo",IF(P409="","",P409),IF($B$1="Duet",IF(S409="","",S409),IF($B$1="Mixed",IF(V409="","",V409),IF(Y409="","",Y409))))),IF($B$1="Solo",IF(M909="","",M909),IF($B$1="MSolo",IF(M909="","",M909),IF($B$1="Duet",IF(P909="","",P909),IF($B$1="Mixed",IF(S909="","",S909),IF(V909="","",V909))))))</f>
        <v>#N/A</v>
      </c>
      <c r="C410" s="3" t="e">
        <f>IF('Coach Card'!$T$5="",IF($B$1="Solo",IF(N409="","",N409),IF($B$1="MSolo",IF(Q409="","",Q409),IF($B$1="Duet",IF(T409="","",T409),IF($B$1="Mixed",IF(W409="","",W409),IF(Z409="","",Z409))))),IF($B$1="Solo",IF(N909="","",N909),IF($B$1="MSolo",IF(N909="","",N909),IF($B$1="Duet",IF(Q909="","",Q909),IF($B$1="Mixed",IF(T909="","",T909),IF(W909="","",W909))))))</f>
        <v>#N/A</v>
      </c>
      <c r="D410" s="3" t="e">
        <f>IF('Coach Card'!$T$5="",IF($D$1="Team",IF(AG409="","",AG409),""),IF($D$1="Team",IF(AD909="","",AD909),""))</f>
        <v>#N/A</v>
      </c>
      <c r="E410" s="3" t="e">
        <f>IF('Coach Card'!$T$5="",IF($D$1="Team",IF(AH409="","",AH409),""),IF($D$1="Team",IF(AE909="","",AE909),""))</f>
        <v>#N/A</v>
      </c>
      <c r="X410" s="1" t="s">
        <v>1767</v>
      </c>
      <c r="Y410" t="s">
        <v>2101</v>
      </c>
      <c r="Z410" s="3">
        <v>1.1850000000000001</v>
      </c>
      <c r="AK410" t="s">
        <v>2095</v>
      </c>
      <c r="AL410" t="s">
        <v>1681</v>
      </c>
      <c r="AM410">
        <v>0.5</v>
      </c>
    </row>
    <row r="411" spans="1:39" x14ac:dyDescent="0.35">
      <c r="A411" s="6" t="e">
        <f>IF('Coach Card'!$T$5="",IF($B$1="Solo",IF(L410="","",L410),IF($B$1="MSolo",IF(O410="","",O410),IF($B$1="Duet",IF(R410="","",R410),IF($B$1="Mixed",IF(U410="","",U410),IF(X410="","",X410))))),IF($B$1="Solo",IF(L910="","",L910),IF($B$1="MSolo",IF(L910="","",L910),IF($B$1="Duet",IF(O910="","",O910),IF($B$1="Mixed",IF(R910="","",R910),IF(U910="","",U910))))))</f>
        <v>#N/A</v>
      </c>
      <c r="B411" s="3" t="e">
        <f>IF('Coach Card'!$T$5="",IF($B$1="Solo",IF(M410="","",M410),IF($B$1="MSolo",IF(P410="","",P410),IF($B$1="Duet",IF(S410="","",S410),IF($B$1="Mixed",IF(V410="","",V410),IF(Y410="","",Y410))))),IF($B$1="Solo",IF(M910="","",M910),IF($B$1="MSolo",IF(M910="","",M910),IF($B$1="Duet",IF(P910="","",P910),IF($B$1="Mixed",IF(S910="","",S910),IF(V910="","",V910))))))</f>
        <v>#N/A</v>
      </c>
      <c r="C411" s="3" t="e">
        <f>IF('Coach Card'!$T$5="",IF($B$1="Solo",IF(N410="","",N410),IF($B$1="MSolo",IF(Q410="","",Q410),IF($B$1="Duet",IF(T410="","",T410),IF($B$1="Mixed",IF(W410="","",W410),IF(Z410="","",Z410))))),IF($B$1="Solo",IF(N910="","",N910),IF($B$1="MSolo",IF(N910="","",N910),IF($B$1="Duet",IF(Q910="","",Q910),IF($B$1="Mixed",IF(T910="","",T910),IF(W910="","",W910))))))</f>
        <v>#N/A</v>
      </c>
      <c r="D411" s="3" t="e">
        <f>IF('Coach Card'!$T$5="",IF($D$1="Team",IF(AG410="","",AG410),""),IF($D$1="Team",IF(AD910="","",AD910),""))</f>
        <v>#N/A</v>
      </c>
      <c r="E411" s="3" t="e">
        <f>IF('Coach Card'!$T$5="",IF($D$1="Team",IF(AH410="","",AH410),""),IF($D$1="Team",IF(AE910="","",AE910),""))</f>
        <v>#N/A</v>
      </c>
      <c r="X411" s="1" t="s">
        <v>1767</v>
      </c>
      <c r="Y411" t="s">
        <v>2102</v>
      </c>
      <c r="Z411" s="3">
        <v>1.425</v>
      </c>
      <c r="AK411" t="s">
        <v>2096</v>
      </c>
      <c r="AL411" t="s">
        <v>1682</v>
      </c>
      <c r="AM411">
        <v>0.5</v>
      </c>
    </row>
    <row r="412" spans="1:39" x14ac:dyDescent="0.35">
      <c r="A412" s="6" t="e">
        <f>IF('Coach Card'!$T$5="",IF($B$1="Solo",IF(L411="","",L411),IF($B$1="MSolo",IF(O411="","",O411),IF($B$1="Duet",IF(R411="","",R411),IF($B$1="Mixed",IF(U411="","",U411),IF(X411="","",X411))))),IF($B$1="Solo",IF(L911="","",L911),IF($B$1="MSolo",IF(L911="","",L911),IF($B$1="Duet",IF(O911="","",O911),IF($B$1="Mixed",IF(R911="","",R911),IF(U911="","",U911))))))</f>
        <v>#N/A</v>
      </c>
      <c r="B412" s="3" t="e">
        <f>IF('Coach Card'!$T$5="",IF($B$1="Solo",IF(M411="","",M411),IF($B$1="MSolo",IF(P411="","",P411),IF($B$1="Duet",IF(S411="","",S411),IF($B$1="Mixed",IF(V411="","",V411),IF(Y411="","",Y411))))),IF($B$1="Solo",IF(M911="","",M911),IF($B$1="MSolo",IF(M911="","",M911),IF($B$1="Duet",IF(P911="","",P911),IF($B$1="Mixed",IF(S911="","",S911),IF(V911="","",V911))))))</f>
        <v>#N/A</v>
      </c>
      <c r="C412" s="3" t="e">
        <f>IF('Coach Card'!$T$5="",IF($B$1="Solo",IF(N411="","",N411),IF($B$1="MSolo",IF(Q411="","",Q411),IF($B$1="Duet",IF(T411="","",T411),IF($B$1="Mixed",IF(W411="","",W411),IF(Z411="","",Z411))))),IF($B$1="Solo",IF(N911="","",N911),IF($B$1="MSolo",IF(N911="","",N911),IF($B$1="Duet",IF(Q911="","",Q911),IF($B$1="Mixed",IF(T911="","",T911),IF(W911="","",W911))))))</f>
        <v>#N/A</v>
      </c>
      <c r="D412" s="3" t="e">
        <f>IF('Coach Card'!$T$5="",IF($D$1="Team",IF(AG411="","",AG411),""),IF($D$1="Team",IF(AD911="","",AD911),""))</f>
        <v>#N/A</v>
      </c>
      <c r="E412" s="3" t="e">
        <f>IF('Coach Card'!$T$5="",IF($D$1="Team",IF(AH411="","",AH411),""),IF($D$1="Team",IF(AE911="","",AE911),""))</f>
        <v>#N/A</v>
      </c>
      <c r="X412" s="1" t="s">
        <v>1767</v>
      </c>
      <c r="Y412" t="s">
        <v>2103</v>
      </c>
      <c r="Z412" s="3">
        <v>1.335</v>
      </c>
      <c r="AK412" t="s">
        <v>2097</v>
      </c>
      <c r="AL412" t="s">
        <v>1683</v>
      </c>
      <c r="AM412">
        <v>0.5</v>
      </c>
    </row>
    <row r="413" spans="1:39" x14ac:dyDescent="0.35">
      <c r="A413" s="6" t="e">
        <f>IF('Coach Card'!$T$5="",IF($B$1="Solo",IF(L412="","",L412),IF($B$1="MSolo",IF(O412="","",O412),IF($B$1="Duet",IF(R412="","",R412),IF($B$1="Mixed",IF(U412="","",U412),IF(X412="","",X412))))),IF($B$1="Solo",IF(L912="","",L912),IF($B$1="MSolo",IF(L912="","",L912),IF($B$1="Duet",IF(O912="","",O912),IF($B$1="Mixed",IF(R912="","",R912),IF(U912="","",U912))))))</f>
        <v>#N/A</v>
      </c>
      <c r="B413" s="3" t="e">
        <f>IF('Coach Card'!$T$5="",IF($B$1="Solo",IF(M412="","",M412),IF($B$1="MSolo",IF(P412="","",P412),IF($B$1="Duet",IF(S412="","",S412),IF($B$1="Mixed",IF(V412="","",V412),IF(Y412="","",Y412))))),IF($B$1="Solo",IF(M912="","",M912),IF($B$1="MSolo",IF(M912="","",M912),IF($B$1="Duet",IF(P912="","",P912),IF($B$1="Mixed",IF(S912="","",S912),IF(V912="","",V912))))))</f>
        <v>#N/A</v>
      </c>
      <c r="C413" s="3" t="e">
        <f>IF('Coach Card'!$T$5="",IF($B$1="Solo",IF(N412="","",N412),IF($B$1="MSolo",IF(Q412="","",Q412),IF($B$1="Duet",IF(T412="","",T412),IF($B$1="Mixed",IF(W412="","",W412),IF(Z412="","",Z412))))),IF($B$1="Solo",IF(N912="","",N912),IF($B$1="MSolo",IF(N912="","",N912),IF($B$1="Duet",IF(Q912="","",Q912),IF($B$1="Mixed",IF(T912="","",T912),IF(W912="","",W912))))))</f>
        <v>#N/A</v>
      </c>
      <c r="D413" s="3" t="e">
        <f>IF('Coach Card'!$T$5="",IF($D$1="Team",IF(AG412="","",AG412),""),IF($D$1="Team",IF(AD912="","",AD912),""))</f>
        <v>#N/A</v>
      </c>
      <c r="E413" s="3" t="e">
        <f>IF('Coach Card'!$T$5="",IF($D$1="Team",IF(AH412="","",AH412),""),IF($D$1="Team",IF(AE912="","",AE912),""))</f>
        <v>#N/A</v>
      </c>
      <c r="X413" s="1" t="s">
        <v>1767</v>
      </c>
      <c r="Y413" t="s">
        <v>2104</v>
      </c>
      <c r="Z413" s="3">
        <v>1.6049999999999998</v>
      </c>
      <c r="AK413" t="s">
        <v>2098</v>
      </c>
      <c r="AL413" t="s">
        <v>1684</v>
      </c>
      <c r="AM413">
        <v>0.5</v>
      </c>
    </row>
    <row r="414" spans="1:39" x14ac:dyDescent="0.35">
      <c r="A414" s="6" t="e">
        <f>IF('Coach Card'!$T$5="",IF($B$1="Solo",IF(L413="","",L413),IF($B$1="MSolo",IF(O413="","",O413),IF($B$1="Duet",IF(R413="","",R413),IF($B$1="Mixed",IF(U413="","",U413),IF(X413="","",X413))))),IF($B$1="Solo",IF(L913="","",L913),IF($B$1="MSolo",IF(L913="","",L913),IF($B$1="Duet",IF(O913="","",O913),IF($B$1="Mixed",IF(R913="","",R913),IF(U913="","",U913))))))</f>
        <v>#N/A</v>
      </c>
      <c r="B414" s="3" t="e">
        <f>IF('Coach Card'!$T$5="",IF($B$1="Solo",IF(M413="","",M413),IF($B$1="MSolo",IF(P413="","",P413),IF($B$1="Duet",IF(S413="","",S413),IF($B$1="Mixed",IF(V413="","",V413),IF(Y413="","",Y413))))),IF($B$1="Solo",IF(M913="","",M913),IF($B$1="MSolo",IF(M913="","",M913),IF($B$1="Duet",IF(P913="","",P913),IF($B$1="Mixed",IF(S913="","",S913),IF(V913="","",V913))))))</f>
        <v>#N/A</v>
      </c>
      <c r="C414" s="3" t="e">
        <f>IF('Coach Card'!$T$5="",IF($B$1="Solo",IF(N413="","",N413),IF($B$1="MSolo",IF(Q413="","",Q413),IF($B$1="Duet",IF(T413="","",T413),IF($B$1="Mixed",IF(W413="","",W413),IF(Z413="","",Z413))))),IF($B$1="Solo",IF(N913="","",N913),IF($B$1="MSolo",IF(N913="","",N913),IF($B$1="Duet",IF(Q913="","",Q913),IF($B$1="Mixed",IF(T913="","",T913),IF(W913="","",W913))))))</f>
        <v>#N/A</v>
      </c>
      <c r="D414" s="3" t="e">
        <f>IF('Coach Card'!$T$5="",IF($D$1="Team",IF(AG413="","",AG413),""),IF($D$1="Team",IF(AD913="","",AD913),""))</f>
        <v>#N/A</v>
      </c>
      <c r="E414" s="3" t="e">
        <f>IF('Coach Card'!$T$5="",IF($D$1="Team",IF(AH413="","",AH413),""),IF($D$1="Team",IF(AE913="","",AE913),""))</f>
        <v>#N/A</v>
      </c>
      <c r="X414" s="1" t="s">
        <v>1767</v>
      </c>
      <c r="Y414" t="s">
        <v>2105</v>
      </c>
      <c r="Z414" s="3">
        <v>1.4850000000000001</v>
      </c>
      <c r="AK414" t="s">
        <v>2099</v>
      </c>
      <c r="AL414" t="s">
        <v>1685</v>
      </c>
      <c r="AM414">
        <v>0.5</v>
      </c>
    </row>
    <row r="415" spans="1:39" x14ac:dyDescent="0.35">
      <c r="A415" s="6" t="e">
        <f>IF('Coach Card'!$T$5="",IF($B$1="Solo",IF(L414="","",L414),IF($B$1="MSolo",IF(O414="","",O414),IF($B$1="Duet",IF(R414="","",R414),IF($B$1="Mixed",IF(U414="","",U414),IF(X414="","",X414))))),IF($B$1="Solo",IF(L914="","",L914),IF($B$1="MSolo",IF(L914="","",L914),IF($B$1="Duet",IF(O914="","",O914),IF($B$1="Mixed",IF(R914="","",R914),IF(U914="","",U914))))))</f>
        <v>#N/A</v>
      </c>
      <c r="B415" s="3" t="e">
        <f>IF('Coach Card'!$T$5="",IF($B$1="Solo",IF(M414="","",M414),IF($B$1="MSolo",IF(P414="","",P414),IF($B$1="Duet",IF(S414="","",S414),IF($B$1="Mixed",IF(V414="","",V414),IF(Y414="","",Y414))))),IF($B$1="Solo",IF(M914="","",M914),IF($B$1="MSolo",IF(M914="","",M914),IF($B$1="Duet",IF(P914="","",P914),IF($B$1="Mixed",IF(S914="","",S914),IF(V914="","",V914))))))</f>
        <v>#N/A</v>
      </c>
      <c r="C415" s="3" t="e">
        <f>IF('Coach Card'!$T$5="",IF($B$1="Solo",IF(N414="","",N414),IF($B$1="MSolo",IF(Q414="","",Q414),IF($B$1="Duet",IF(T414="","",T414),IF($B$1="Mixed",IF(W414="","",W414),IF(Z414="","",Z414))))),IF($B$1="Solo",IF(N914="","",N914),IF($B$1="MSolo",IF(N914="","",N914),IF($B$1="Duet",IF(Q914="","",Q914),IF($B$1="Mixed",IF(T914="","",T914),IF(W914="","",W914))))))</f>
        <v>#N/A</v>
      </c>
      <c r="D415" s="3" t="e">
        <f>IF('Coach Card'!$T$5="",IF($D$1="Team",IF(AG414="","",AG414),""),IF($D$1="Team",IF(AD914="","",AD914),""))</f>
        <v>#N/A</v>
      </c>
      <c r="E415" s="3" t="e">
        <f>IF('Coach Card'!$T$5="",IF($D$1="Team",IF(AH414="","",AH414),""),IF($D$1="Team",IF(AE914="","",AE914),""))</f>
        <v>#N/A</v>
      </c>
      <c r="X415" s="1" t="s">
        <v>1767</v>
      </c>
      <c r="Y415" t="s">
        <v>2106</v>
      </c>
      <c r="Z415" s="3">
        <v>1.7849999999999999</v>
      </c>
      <c r="AK415" t="s">
        <v>2100</v>
      </c>
      <c r="AL415" t="s">
        <v>1686</v>
      </c>
      <c r="AM415">
        <v>0.5</v>
      </c>
    </row>
    <row r="416" spans="1:39" x14ac:dyDescent="0.35">
      <c r="A416" s="6" t="e">
        <f>IF('Coach Card'!$T$5="",IF($B$1="Solo",IF(L415="","",L415),IF($B$1="MSolo",IF(O415="","",O415),IF($B$1="Duet",IF(R415="","",R415),IF($B$1="Mixed",IF(U415="","",U415),IF(X415="","",X415))))),IF($B$1="Solo",IF(L915="","",L915),IF($B$1="MSolo",IF(L915="","",L915),IF($B$1="Duet",IF(O915="","",O915),IF($B$1="Mixed",IF(R915="","",R915),IF(U915="","",U915))))))</f>
        <v>#N/A</v>
      </c>
      <c r="B416" s="3" t="e">
        <f>IF('Coach Card'!$T$5="",IF($B$1="Solo",IF(M415="","",M415),IF($B$1="MSolo",IF(P415="","",P415),IF($B$1="Duet",IF(S415="","",S415),IF($B$1="Mixed",IF(V415="","",V415),IF(Y415="","",Y415))))),IF($B$1="Solo",IF(M915="","",M915),IF($B$1="MSolo",IF(M915="","",M915),IF($B$1="Duet",IF(P915="","",P915),IF($B$1="Mixed",IF(S915="","",S915),IF(V915="","",V915))))))</f>
        <v>#N/A</v>
      </c>
      <c r="C416" s="3" t="e">
        <f>IF('Coach Card'!$T$5="",IF($B$1="Solo",IF(N415="","",N415),IF($B$1="MSolo",IF(Q415="","",Q415),IF($B$1="Duet",IF(T415="","",T415),IF($B$1="Mixed",IF(W415="","",W415),IF(Z415="","",Z415))))),IF($B$1="Solo",IF(N915="","",N915),IF($B$1="MSolo",IF(N915="","",N915),IF($B$1="Duet",IF(Q915="","",Q915),IF($B$1="Mixed",IF(T915="","",T915),IF(W915="","",W915))))))</f>
        <v>#N/A</v>
      </c>
      <c r="D416" s="3" t="e">
        <f>IF('Coach Card'!$T$5="",IF($D$1="Team",IF(AG415="","",AG415),""),IF($D$1="Team",IF(AD915="","",AD915),""))</f>
        <v>#N/A</v>
      </c>
      <c r="E416" s="3" t="e">
        <f>IF('Coach Card'!$T$5="",IF($D$1="Team",IF(AH415="","",AH415),""),IF($D$1="Team",IF(AE915="","",AE915),""))</f>
        <v>#N/A</v>
      </c>
      <c r="X416" s="1" t="s">
        <v>1631</v>
      </c>
      <c r="Y416" t="s">
        <v>2107</v>
      </c>
      <c r="Z416" s="3">
        <v>1.4999999999999999E-2</v>
      </c>
      <c r="AK416" t="s">
        <v>2101</v>
      </c>
      <c r="AL416" t="s">
        <v>1687</v>
      </c>
      <c r="AM416">
        <v>0.5</v>
      </c>
    </row>
    <row r="417" spans="1:39" x14ac:dyDescent="0.35">
      <c r="A417" s="6" t="e">
        <f>IF('Coach Card'!$T$5="",IF($B$1="Solo",IF(L416="","",L416),IF($B$1="MSolo",IF(O416="","",O416),IF($B$1="Duet",IF(R416="","",R416),IF($B$1="Mixed",IF(U416="","",U416),IF(X416="","",X416))))),IF($B$1="Solo",IF(L916="","",L916),IF($B$1="MSolo",IF(L916="","",L916),IF($B$1="Duet",IF(O916="","",O916),IF($B$1="Mixed",IF(R916="","",R916),IF(U916="","",U916))))))</f>
        <v>#N/A</v>
      </c>
      <c r="B417" s="3" t="e">
        <f>IF('Coach Card'!$T$5="",IF($B$1="Solo",IF(M416="","",M416),IF($B$1="MSolo",IF(P416="","",P416),IF($B$1="Duet",IF(S416="","",S416),IF($B$1="Mixed",IF(V416="","",V416),IF(Y416="","",Y416))))),IF($B$1="Solo",IF(M916="","",M916),IF($B$1="MSolo",IF(M916="","",M916),IF($B$1="Duet",IF(P916="","",P916),IF($B$1="Mixed",IF(S916="","",S916),IF(V916="","",V916))))))</f>
        <v>#N/A</v>
      </c>
      <c r="C417" s="3" t="e">
        <f>IF('Coach Card'!$T$5="",IF($B$1="Solo",IF(N416="","",N416),IF($B$1="MSolo",IF(Q416="","",Q416),IF($B$1="Duet",IF(T416="","",T416),IF($B$1="Mixed",IF(W416="","",W416),IF(Z416="","",Z416))))),IF($B$1="Solo",IF(N916="","",N916),IF($B$1="MSolo",IF(N916="","",N916),IF($B$1="Duet",IF(Q916="","",Q916),IF($B$1="Mixed",IF(T916="","",T916),IF(W916="","",W916))))))</f>
        <v>#N/A</v>
      </c>
      <c r="D417" s="3" t="e">
        <f>IF('Coach Card'!$T$5="",IF($D$1="Team",IF(AG416="","",AG416),""),IF($D$1="Team",IF(AD916="","",AD916),""))</f>
        <v>#N/A</v>
      </c>
      <c r="E417" s="3" t="e">
        <f>IF('Coach Card'!$T$5="",IF($D$1="Team",IF(AH416="","",AH416),""),IF($D$1="Team",IF(AE916="","",AE916),""))</f>
        <v>#N/A</v>
      </c>
      <c r="X417" s="1" t="s">
        <v>1631</v>
      </c>
      <c r="Y417" t="s">
        <v>2108</v>
      </c>
      <c r="Z417" s="3">
        <v>0.03</v>
      </c>
      <c r="AK417" t="s">
        <v>2102</v>
      </c>
      <c r="AL417" t="s">
        <v>1688</v>
      </c>
      <c r="AM417">
        <v>0.5</v>
      </c>
    </row>
    <row r="418" spans="1:39" x14ac:dyDescent="0.35">
      <c r="A418" s="6" t="e">
        <f>IF('Coach Card'!$T$5="",IF($B$1="Solo",IF(L417="","",L417),IF($B$1="MSolo",IF(O417="","",O417),IF($B$1="Duet",IF(R417="","",R417),IF($B$1="Mixed",IF(U417="","",U417),IF(X417="","",X417))))),IF($B$1="Solo",IF(L917="","",L917),IF($B$1="MSolo",IF(L917="","",L917),IF($B$1="Duet",IF(O917="","",O917),IF($B$1="Mixed",IF(R917="","",R917),IF(U917="","",U917))))))</f>
        <v>#N/A</v>
      </c>
      <c r="B418" s="3" t="e">
        <f>IF('Coach Card'!$T$5="",IF($B$1="Solo",IF(M417="","",M417),IF($B$1="MSolo",IF(P417="","",P417),IF($B$1="Duet",IF(S417="","",S417),IF($B$1="Mixed",IF(V417="","",V417),IF(Y417="","",Y417))))),IF($B$1="Solo",IF(M917="","",M917),IF($B$1="MSolo",IF(M917="","",M917),IF($B$1="Duet",IF(P917="","",P917),IF($B$1="Mixed",IF(S917="","",S917),IF(V917="","",V917))))))</f>
        <v>#N/A</v>
      </c>
      <c r="C418" s="3" t="e">
        <f>IF('Coach Card'!$T$5="",IF($B$1="Solo",IF(N417="","",N417),IF($B$1="MSolo",IF(Q417="","",Q417),IF($B$1="Duet",IF(T417="","",T417),IF($B$1="Mixed",IF(W417="","",W417),IF(Z417="","",Z417))))),IF($B$1="Solo",IF(N917="","",N917),IF($B$1="MSolo",IF(N917="","",N917),IF($B$1="Duet",IF(Q917="","",Q917),IF($B$1="Mixed",IF(T917="","",T917),IF(W917="","",W917))))))</f>
        <v>#N/A</v>
      </c>
      <c r="D418" s="3" t="e">
        <f>IF('Coach Card'!$T$5="",IF($D$1="Team",IF(AG417="","",AG417),""),IF($D$1="Team",IF(AD917="","",AD917),""))</f>
        <v>#N/A</v>
      </c>
      <c r="E418" s="3" t="e">
        <f>IF('Coach Card'!$T$5="",IF($D$1="Team",IF(AH417="","",AH417),""),IF($D$1="Team",IF(AE917="","",AE917),""))</f>
        <v>#N/A</v>
      </c>
      <c r="X418" s="1" t="s">
        <v>1631</v>
      </c>
      <c r="Y418" t="s">
        <v>2109</v>
      </c>
      <c r="Z418" s="3">
        <v>0.03</v>
      </c>
      <c r="AK418" t="s">
        <v>2103</v>
      </c>
      <c r="AL418" t="s">
        <v>1689</v>
      </c>
      <c r="AM418">
        <v>0.5</v>
      </c>
    </row>
    <row r="419" spans="1:39" x14ac:dyDescent="0.35">
      <c r="A419" s="6" t="e">
        <f>IF('Coach Card'!$T$5="",IF($B$1="Solo",IF(L418="","",L418),IF($B$1="MSolo",IF(O418="","",O418),IF($B$1="Duet",IF(R418="","",R418),IF($B$1="Mixed",IF(U418="","",U418),IF(X418="","",X418))))),IF($B$1="Solo",IF(L918="","",L918),IF($B$1="MSolo",IF(L918="","",L918),IF($B$1="Duet",IF(O918="","",O918),IF($B$1="Mixed",IF(R918="","",R918),IF(U918="","",U918))))))</f>
        <v>#N/A</v>
      </c>
      <c r="B419" s="3" t="e">
        <f>IF('Coach Card'!$T$5="",IF($B$1="Solo",IF(M418="","",M418),IF($B$1="MSolo",IF(P418="","",P418),IF($B$1="Duet",IF(S418="","",S418),IF($B$1="Mixed",IF(V418="","",V418),IF(Y418="","",Y418))))),IF($B$1="Solo",IF(M918="","",M918),IF($B$1="MSolo",IF(M918="","",M918),IF($B$1="Duet",IF(P918="","",P918),IF($B$1="Mixed",IF(S918="","",S918),IF(V918="","",V918))))))</f>
        <v>#N/A</v>
      </c>
      <c r="C419" s="3" t="e">
        <f>IF('Coach Card'!$T$5="",IF($B$1="Solo",IF(N418="","",N418),IF($B$1="MSolo",IF(Q418="","",Q418),IF($B$1="Duet",IF(T418="","",T418),IF($B$1="Mixed",IF(W418="","",W418),IF(Z418="","",Z418))))),IF($B$1="Solo",IF(N918="","",N918),IF($B$1="MSolo",IF(N918="","",N918),IF($B$1="Duet",IF(Q918="","",Q918),IF($B$1="Mixed",IF(T918="","",T918),IF(W918="","",W918))))))</f>
        <v>#N/A</v>
      </c>
      <c r="D419" s="3" t="e">
        <f>IF('Coach Card'!$T$5="",IF($D$1="Team",IF(AG418="","",AG418),""),IF($D$1="Team",IF(AD918="","",AD918),""))</f>
        <v>#N/A</v>
      </c>
      <c r="E419" s="3" t="e">
        <f>IF('Coach Card'!$T$5="",IF($D$1="Team",IF(AH418="","",AH418),""),IF($D$1="Team",IF(AE918="","",AE918),""))</f>
        <v>#N/A</v>
      </c>
      <c r="X419" s="1" t="s">
        <v>1631</v>
      </c>
      <c r="Y419" t="s">
        <v>2110</v>
      </c>
      <c r="Z419" s="3">
        <v>0.03</v>
      </c>
      <c r="AK419" t="s">
        <v>2104</v>
      </c>
      <c r="AL419" t="s">
        <v>1690</v>
      </c>
      <c r="AM419">
        <v>0.5</v>
      </c>
    </row>
    <row r="420" spans="1:39" x14ac:dyDescent="0.35">
      <c r="A420" s="6" t="e">
        <f>IF('Coach Card'!$T$5="",IF($B$1="Solo",IF(L419="","",L419),IF($B$1="MSolo",IF(O419="","",O419),IF($B$1="Duet",IF(R419="","",R419),IF($B$1="Mixed",IF(U419="","",U419),IF(X419="","",X419))))),IF($B$1="Solo",IF(L919="","",L919),IF($B$1="MSolo",IF(L919="","",L919),IF($B$1="Duet",IF(O919="","",O919),IF($B$1="Mixed",IF(R919="","",R919),IF(U919="","",U919))))))</f>
        <v>#N/A</v>
      </c>
      <c r="B420" s="3" t="e">
        <f>IF('Coach Card'!$T$5="",IF($B$1="Solo",IF(M419="","",M419),IF($B$1="MSolo",IF(P419="","",P419),IF($B$1="Duet",IF(S419="","",S419),IF($B$1="Mixed",IF(V419="","",V419),IF(Y419="","",Y419))))),IF($B$1="Solo",IF(M919="","",M919),IF($B$1="MSolo",IF(M919="","",M919),IF($B$1="Duet",IF(P919="","",P919),IF($B$1="Mixed",IF(S919="","",S919),IF(V919="","",V919))))))</f>
        <v>#N/A</v>
      </c>
      <c r="C420" s="3" t="e">
        <f>IF('Coach Card'!$T$5="",IF($B$1="Solo",IF(N419="","",N419),IF($B$1="MSolo",IF(Q419="","",Q419),IF($B$1="Duet",IF(T419="","",T419),IF($B$1="Mixed",IF(W419="","",W419),IF(Z419="","",Z419))))),IF($B$1="Solo",IF(N919="","",N919),IF($B$1="MSolo",IF(N919="","",N919),IF($B$1="Duet",IF(Q919="","",Q919),IF($B$1="Mixed",IF(T919="","",T919),IF(W919="","",W919))))))</f>
        <v>#N/A</v>
      </c>
      <c r="D420" s="3" t="e">
        <f>IF('Coach Card'!$T$5="",IF($D$1="Team",IF(AG419="","",AG419),""),IF($D$1="Team",IF(AD919="","",AD919),""))</f>
        <v>#N/A</v>
      </c>
      <c r="E420" s="3" t="e">
        <f>IF('Coach Card'!$T$5="",IF($D$1="Team",IF(AH419="","",AH419),""),IF($D$1="Team",IF(AE919="","",AE919),""))</f>
        <v>#N/A</v>
      </c>
      <c r="X420" s="1" t="s">
        <v>1631</v>
      </c>
      <c r="Y420" t="s">
        <v>2111</v>
      </c>
      <c r="Z420" s="3">
        <v>0.03</v>
      </c>
      <c r="AK420" t="s">
        <v>2105</v>
      </c>
      <c r="AL420" t="s">
        <v>1691</v>
      </c>
      <c r="AM420">
        <v>0.5</v>
      </c>
    </row>
    <row r="421" spans="1:39" x14ac:dyDescent="0.35">
      <c r="A421" s="6" t="e">
        <f>IF('Coach Card'!$T$5="",IF($B$1="Solo",IF(L420="","",L420),IF($B$1="MSolo",IF(O420="","",O420),IF($B$1="Duet",IF(R420="","",R420),IF($B$1="Mixed",IF(U420="","",U420),IF(X420="","",X420))))),IF($B$1="Solo",IF(L920="","",L920),IF($B$1="MSolo",IF(L920="","",L920),IF($B$1="Duet",IF(O920="","",O920),IF($B$1="Mixed",IF(R920="","",R920),IF(U920="","",U920))))))</f>
        <v>#N/A</v>
      </c>
      <c r="B421" s="3" t="e">
        <f>IF('Coach Card'!$T$5="",IF($B$1="Solo",IF(M420="","",M420),IF($B$1="MSolo",IF(P420="","",P420),IF($B$1="Duet",IF(S420="","",S420),IF($B$1="Mixed",IF(V420="","",V420),IF(Y420="","",Y420))))),IF($B$1="Solo",IF(M920="","",M920),IF($B$1="MSolo",IF(M920="","",M920),IF($B$1="Duet",IF(P920="","",P920),IF($B$1="Mixed",IF(S920="","",S920),IF(V920="","",V920))))))</f>
        <v>#N/A</v>
      </c>
      <c r="C421" s="3" t="e">
        <f>IF('Coach Card'!$T$5="",IF($B$1="Solo",IF(N420="","",N420),IF($B$1="MSolo",IF(Q420="","",Q420),IF($B$1="Duet",IF(T420="","",T420),IF($B$1="Mixed",IF(W420="","",W420),IF(Z420="","",Z420))))),IF($B$1="Solo",IF(N920="","",N920),IF($B$1="MSolo",IF(N920="","",N920),IF($B$1="Duet",IF(Q920="","",Q920),IF($B$1="Mixed",IF(T920="","",T920),IF(W920="","",W920))))))</f>
        <v>#N/A</v>
      </c>
      <c r="D421" s="3" t="e">
        <f>IF('Coach Card'!$T$5="",IF($D$1="Team",IF(AG420="","",AG420),""),IF($D$1="Team",IF(AD920="","",AD920),""))</f>
        <v>#N/A</v>
      </c>
      <c r="E421" s="3" t="e">
        <f>IF('Coach Card'!$T$5="",IF($D$1="Team",IF(AH420="","",AH420),""),IF($D$1="Team",IF(AE920="","",AE920),""))</f>
        <v>#N/A</v>
      </c>
      <c r="X421" s="1" t="s">
        <v>1631</v>
      </c>
      <c r="Y421" t="s">
        <v>2112</v>
      </c>
      <c r="Z421" s="3">
        <v>4.4999999999999998E-2</v>
      </c>
      <c r="AK421" t="s">
        <v>2106</v>
      </c>
      <c r="AL421" t="s">
        <v>1692</v>
      </c>
      <c r="AM421">
        <v>0.5</v>
      </c>
    </row>
    <row r="422" spans="1:39" x14ac:dyDescent="0.35">
      <c r="A422" s="6" t="e">
        <f>IF('Coach Card'!$T$5="",IF($B$1="Solo",IF(L421="","",L421),IF($B$1="MSolo",IF(O421="","",O421),IF($B$1="Duet",IF(R421="","",R421),IF($B$1="Mixed",IF(U421="","",U421),IF(X421="","",X421))))),IF($B$1="Solo",IF(L921="","",L921),IF($B$1="MSolo",IF(L921="","",L921),IF($B$1="Duet",IF(O921="","",O921),IF($B$1="Mixed",IF(R921="","",R921),IF(U921="","",U921))))))</f>
        <v>#N/A</v>
      </c>
      <c r="B422" s="3" t="e">
        <f>IF('Coach Card'!$T$5="",IF($B$1="Solo",IF(M421="","",M421),IF($B$1="MSolo",IF(P421="","",P421),IF($B$1="Duet",IF(S421="","",S421),IF($B$1="Mixed",IF(V421="","",V421),IF(Y421="","",Y421))))),IF($B$1="Solo",IF(M921="","",M921),IF($B$1="MSolo",IF(M921="","",M921),IF($B$1="Duet",IF(P921="","",P921),IF($B$1="Mixed",IF(S921="","",S921),IF(V921="","",V921))))))</f>
        <v>#N/A</v>
      </c>
      <c r="C422" s="3" t="e">
        <f>IF('Coach Card'!$T$5="",IF($B$1="Solo",IF(N421="","",N421),IF($B$1="MSolo",IF(Q421="","",Q421),IF($B$1="Duet",IF(T421="","",T421),IF($B$1="Mixed",IF(W421="","",W421),IF(Z421="","",Z421))))),IF($B$1="Solo",IF(N921="","",N921),IF($B$1="MSolo",IF(N921="","",N921),IF($B$1="Duet",IF(Q921="","",Q921),IF($B$1="Mixed",IF(T921="","",T921),IF(W921="","",W921))))))</f>
        <v>#N/A</v>
      </c>
      <c r="D422" s="3" t="e">
        <f>IF('Coach Card'!$T$5="",IF($D$1="Team",IF(AG421="","",AG421),""),IF($D$1="Team",IF(AD921="","",AD921),""))</f>
        <v>#N/A</v>
      </c>
      <c r="E422" s="3" t="e">
        <f>IF('Coach Card'!$T$5="",IF($D$1="Team",IF(AH421="","",AH421),""),IF($D$1="Team",IF(AE921="","",AE921),""))</f>
        <v>#N/A</v>
      </c>
      <c r="X422" s="1" t="s">
        <v>1631</v>
      </c>
      <c r="Y422" t="s">
        <v>2013</v>
      </c>
      <c r="Z422" s="3">
        <v>4.4999999999999998E-2</v>
      </c>
      <c r="AK422" t="s">
        <v>2107</v>
      </c>
      <c r="AL422" t="s">
        <v>1693</v>
      </c>
      <c r="AM422">
        <v>0.5</v>
      </c>
    </row>
    <row r="423" spans="1:39" x14ac:dyDescent="0.35">
      <c r="A423" s="6" t="e">
        <f>IF('Coach Card'!$T$5="",IF($B$1="Solo",IF(L422="","",L422),IF($B$1="MSolo",IF(O422="","",O422),IF($B$1="Duet",IF(R422="","",R422),IF($B$1="Mixed",IF(U422="","",U422),IF(X422="","",X422))))),IF($B$1="Solo",IF(L922="","",L922),IF($B$1="MSolo",IF(L922="","",L922),IF($B$1="Duet",IF(O922="","",O922),IF($B$1="Mixed",IF(R922="","",R922),IF(U922="","",U922))))))</f>
        <v>#N/A</v>
      </c>
      <c r="B423" s="3" t="e">
        <f>IF('Coach Card'!$T$5="",IF($B$1="Solo",IF(M422="","",M422),IF($B$1="MSolo",IF(P422="","",P422),IF($B$1="Duet",IF(S422="","",S422),IF($B$1="Mixed",IF(V422="","",V422),IF(Y422="","",Y422))))),IF($B$1="Solo",IF(M922="","",M922),IF($B$1="MSolo",IF(M922="","",M922),IF($B$1="Duet",IF(P922="","",P922),IF($B$1="Mixed",IF(S922="","",S922),IF(V922="","",V922))))))</f>
        <v>#N/A</v>
      </c>
      <c r="C423" s="3" t="e">
        <f>IF('Coach Card'!$T$5="",IF($B$1="Solo",IF(N422="","",N422),IF($B$1="MSolo",IF(Q422="","",Q422),IF($B$1="Duet",IF(T422="","",T422),IF($B$1="Mixed",IF(W422="","",W422),IF(Z422="","",Z422))))),IF($B$1="Solo",IF(N922="","",N922),IF($B$1="MSolo",IF(N922="","",N922),IF($B$1="Duet",IF(Q922="","",Q922),IF($B$1="Mixed",IF(T922="","",T922),IF(W922="","",W922))))))</f>
        <v>#N/A</v>
      </c>
      <c r="D423" s="3" t="e">
        <f>IF('Coach Card'!$T$5="",IF($D$1="Team",IF(AG422="","",AG422),""),IF($D$1="Team",IF(AD922="","",AD922),""))</f>
        <v>#N/A</v>
      </c>
      <c r="E423" s="3" t="e">
        <f>IF('Coach Card'!$T$5="",IF($D$1="Team",IF(AH422="","",AH422),""),IF($D$1="Team",IF(AE922="","",AE922),""))</f>
        <v>#N/A</v>
      </c>
      <c r="X423" s="1" t="s">
        <v>1631</v>
      </c>
      <c r="Y423" t="s">
        <v>2113</v>
      </c>
      <c r="Z423" s="3">
        <v>0.06</v>
      </c>
      <c r="AK423" t="s">
        <v>2108</v>
      </c>
      <c r="AL423" t="s">
        <v>1800</v>
      </c>
      <c r="AM423">
        <v>0.5</v>
      </c>
    </row>
    <row r="424" spans="1:39" x14ac:dyDescent="0.35">
      <c r="A424" s="6" t="e">
        <f>IF('Coach Card'!$T$5="",IF($B$1="Solo",IF(L423="","",L423),IF($B$1="MSolo",IF(O423="","",O423),IF($B$1="Duet",IF(R423="","",R423),IF($B$1="Mixed",IF(U423="","",U423),IF(X423="","",X423))))),IF($B$1="Solo",IF(L923="","",L923),IF($B$1="MSolo",IF(L923="","",L923),IF($B$1="Duet",IF(O923="","",O923),IF($B$1="Mixed",IF(R923="","",R923),IF(U923="","",U923))))))</f>
        <v>#N/A</v>
      </c>
      <c r="B424" s="3" t="e">
        <f>IF('Coach Card'!$T$5="",IF($B$1="Solo",IF(M423="","",M423),IF($B$1="MSolo",IF(P423="","",P423),IF($B$1="Duet",IF(S423="","",S423),IF($B$1="Mixed",IF(V423="","",V423),IF(Y423="","",Y423))))),IF($B$1="Solo",IF(M923="","",M923),IF($B$1="MSolo",IF(M923="","",M923),IF($B$1="Duet",IF(P923="","",P923),IF($B$1="Mixed",IF(S923="","",S923),IF(V923="","",V923))))))</f>
        <v>#N/A</v>
      </c>
      <c r="C424" s="3" t="e">
        <f>IF('Coach Card'!$T$5="",IF($B$1="Solo",IF(N423="","",N423),IF($B$1="MSolo",IF(Q423="","",Q423),IF($B$1="Duet",IF(T423="","",T423),IF($B$1="Mixed",IF(W423="","",W423),IF(Z423="","",Z423))))),IF($B$1="Solo",IF(N923="","",N923),IF($B$1="MSolo",IF(N923="","",N923),IF($B$1="Duet",IF(Q923="","",Q923),IF($B$1="Mixed",IF(T923="","",T923),IF(W923="","",W923))))))</f>
        <v>#N/A</v>
      </c>
      <c r="D424" s="3" t="e">
        <f>IF('Coach Card'!$T$5="",IF($D$1="Team",IF(AG423="","",AG423),""),IF($D$1="Team",IF(AD923="","",AD923),""))</f>
        <v>#N/A</v>
      </c>
      <c r="E424" s="3" t="e">
        <f>IF('Coach Card'!$T$5="",IF($D$1="Team",IF(AH423="","",AH423),""),IF($D$1="Team",IF(AE923="","",AE923),""))</f>
        <v>#N/A</v>
      </c>
      <c r="X424" s="1" t="s">
        <v>1631</v>
      </c>
      <c r="Y424" t="s">
        <v>2114</v>
      </c>
      <c r="Z424" s="3">
        <v>0.06</v>
      </c>
      <c r="AK424" t="s">
        <v>2109</v>
      </c>
      <c r="AL424" t="s">
        <v>1801</v>
      </c>
      <c r="AM424">
        <v>0.5</v>
      </c>
    </row>
    <row r="425" spans="1:39" x14ac:dyDescent="0.35">
      <c r="A425" s="6" t="e">
        <f>IF('Coach Card'!$T$5="",IF($B$1="Solo",IF(L424="","",L424),IF($B$1="MSolo",IF(O424="","",O424),IF($B$1="Duet",IF(R424="","",R424),IF($B$1="Mixed",IF(U424="","",U424),IF(X424="","",X424))))),IF($B$1="Solo",IF(L924="","",L924),IF($B$1="MSolo",IF(L924="","",L924),IF($B$1="Duet",IF(O924="","",O924),IF($B$1="Mixed",IF(R924="","",R924),IF(U924="","",U924))))))</f>
        <v>#N/A</v>
      </c>
      <c r="B425" s="3" t="e">
        <f>IF('Coach Card'!$T$5="",IF($B$1="Solo",IF(M424="","",M424),IF($B$1="MSolo",IF(P424="","",P424),IF($B$1="Duet",IF(S424="","",S424),IF($B$1="Mixed",IF(V424="","",V424),IF(Y424="","",Y424))))),IF($B$1="Solo",IF(M924="","",M924),IF($B$1="MSolo",IF(M924="","",M924),IF($B$1="Duet",IF(P924="","",P924),IF($B$1="Mixed",IF(S924="","",S924),IF(V924="","",V924))))))</f>
        <v>#N/A</v>
      </c>
      <c r="C425" s="3" t="e">
        <f>IF('Coach Card'!$T$5="",IF($B$1="Solo",IF(N424="","",N424),IF($B$1="MSolo",IF(Q424="","",Q424),IF($B$1="Duet",IF(T424="","",T424),IF($B$1="Mixed",IF(W424="","",W424),IF(Z424="","",Z424))))),IF($B$1="Solo",IF(N924="","",N924),IF($B$1="MSolo",IF(N924="","",N924),IF($B$1="Duet",IF(Q924="","",Q924),IF($B$1="Mixed",IF(T924="","",T924),IF(W924="","",W924))))))</f>
        <v>#N/A</v>
      </c>
      <c r="D425" s="3" t="e">
        <f>IF('Coach Card'!$T$5="",IF($D$1="Team",IF(AG424="","",AG424),""),IF($D$1="Team",IF(AD924="","",AD924),""))</f>
        <v>#N/A</v>
      </c>
      <c r="E425" s="3" t="e">
        <f>IF('Coach Card'!$T$5="",IF($D$1="Team",IF(AH424="","",AH424),""),IF($D$1="Team",IF(AE924="","",AE924),""))</f>
        <v>#N/A</v>
      </c>
      <c r="X425" s="1" t="s">
        <v>1631</v>
      </c>
      <c r="Y425" t="s">
        <v>2115</v>
      </c>
      <c r="Z425" s="3">
        <v>0.13500000000000001</v>
      </c>
      <c r="AK425" t="s">
        <v>2110</v>
      </c>
      <c r="AL425" t="s">
        <v>1802</v>
      </c>
      <c r="AM425">
        <v>0.5</v>
      </c>
    </row>
    <row r="426" spans="1:39" x14ac:dyDescent="0.35">
      <c r="A426" s="6" t="e">
        <f>IF('Coach Card'!$T$5="",IF($B$1="Solo",IF(L425="","",L425),IF($B$1="MSolo",IF(O425="","",O425),IF($B$1="Duet",IF(R425="","",R425),IF($B$1="Mixed",IF(U425="","",U425),IF(X425="","",X425))))),IF($B$1="Solo",IF(L925="","",L925),IF($B$1="MSolo",IF(L925="","",L925),IF($B$1="Duet",IF(O925="","",O925),IF($B$1="Mixed",IF(R925="","",R925),IF(U925="","",U925))))))</f>
        <v>#N/A</v>
      </c>
      <c r="B426" s="3" t="e">
        <f>IF('Coach Card'!$T$5="",IF($B$1="Solo",IF(M425="","",M425),IF($B$1="MSolo",IF(P425="","",P425),IF($B$1="Duet",IF(S425="","",S425),IF($B$1="Mixed",IF(V425="","",V425),IF(Y425="","",Y425))))),IF($B$1="Solo",IF(M925="","",M925),IF($B$1="MSolo",IF(M925="","",M925),IF($B$1="Duet",IF(P925="","",P925),IF($B$1="Mixed",IF(S925="","",S925),IF(V925="","",V925))))))</f>
        <v>#N/A</v>
      </c>
      <c r="C426" s="3" t="e">
        <f>IF('Coach Card'!$T$5="",IF($B$1="Solo",IF(N425="","",N425),IF($B$1="MSolo",IF(Q425="","",Q425),IF($B$1="Duet",IF(T425="","",T425),IF($B$1="Mixed",IF(W425="","",W425),IF(Z425="","",Z425))))),IF($B$1="Solo",IF(N925="","",N925),IF($B$1="MSolo",IF(N925="","",N925),IF($B$1="Duet",IF(Q925="","",Q925),IF($B$1="Mixed",IF(T925="","",T925),IF(W925="","",W925))))))</f>
        <v>#N/A</v>
      </c>
      <c r="D426" s="3" t="e">
        <f>IF('Coach Card'!$T$5="",IF($D$1="Team",IF(AG425="","",AG425),""),IF($D$1="Team",IF(AD925="","",AD925),""))</f>
        <v>#N/A</v>
      </c>
      <c r="E426" s="3" t="e">
        <f>IF('Coach Card'!$T$5="",IF($D$1="Team",IF(AH425="","",AH425),""),IF($D$1="Team",IF(AE925="","",AE925),""))</f>
        <v>#N/A</v>
      </c>
      <c r="X426" s="1" t="s">
        <v>1631</v>
      </c>
      <c r="Y426" t="s">
        <v>2116</v>
      </c>
      <c r="Z426" s="3">
        <v>0.13500000000000001</v>
      </c>
      <c r="AK426" t="s">
        <v>2111</v>
      </c>
      <c r="AL426" t="s">
        <v>1803</v>
      </c>
      <c r="AM426">
        <v>0.5</v>
      </c>
    </row>
    <row r="427" spans="1:39" x14ac:dyDescent="0.35">
      <c r="A427" s="6" t="e">
        <f>IF('Coach Card'!$T$5="",IF($B$1="Solo",IF(L426="","",L426),IF($B$1="MSolo",IF(O426="","",O426),IF($B$1="Duet",IF(R426="","",R426),IF($B$1="Mixed",IF(U426="","",U426),IF(X426="","",X426))))),IF($B$1="Solo",IF(L926="","",L926),IF($B$1="MSolo",IF(L926="","",L926),IF($B$1="Duet",IF(O926="","",O926),IF($B$1="Mixed",IF(R926="","",R926),IF(U926="","",U926))))))</f>
        <v>#N/A</v>
      </c>
      <c r="B427" s="3" t="e">
        <f>IF('Coach Card'!$T$5="",IF($B$1="Solo",IF(M426="","",M426),IF($B$1="MSolo",IF(P426="","",P426),IF($B$1="Duet",IF(S426="","",S426),IF($B$1="Mixed",IF(V426="","",V426),IF(Y426="","",Y426))))),IF($B$1="Solo",IF(M926="","",M926),IF($B$1="MSolo",IF(M926="","",M926),IF($B$1="Duet",IF(P926="","",P926),IF($B$1="Mixed",IF(S926="","",S926),IF(V926="","",V926))))))</f>
        <v>#N/A</v>
      </c>
      <c r="C427" s="3" t="e">
        <f>IF('Coach Card'!$T$5="",IF($B$1="Solo",IF(N426="","",N426),IF($B$1="MSolo",IF(Q426="","",Q426),IF($B$1="Duet",IF(T426="","",T426),IF($B$1="Mixed",IF(W426="","",W426),IF(Z426="","",Z426))))),IF($B$1="Solo",IF(N926="","",N926),IF($B$1="MSolo",IF(N926="","",N926),IF($B$1="Duet",IF(Q926="","",Q926),IF($B$1="Mixed",IF(T926="","",T926),IF(W926="","",W926))))))</f>
        <v>#N/A</v>
      </c>
      <c r="D427" s="3" t="e">
        <f>IF('Coach Card'!$T$5="",IF($D$1="Team",IF(AG426="","",AG426),""),IF($D$1="Team",IF(AD926="","",AD926),""))</f>
        <v>#N/A</v>
      </c>
      <c r="E427" s="3" t="e">
        <f>IF('Coach Card'!$T$5="",IF($D$1="Team",IF(AH426="","",AH426),""),IF($D$1="Team",IF(AE926="","",AE926),""))</f>
        <v>#N/A</v>
      </c>
      <c r="X427" s="1" t="s">
        <v>1631</v>
      </c>
      <c r="Y427" t="s">
        <v>2117</v>
      </c>
      <c r="Z427" s="3">
        <v>0.19500000000000001</v>
      </c>
      <c r="AK427" t="s">
        <v>2112</v>
      </c>
      <c r="AL427" t="s">
        <v>1804</v>
      </c>
      <c r="AM427">
        <v>0.5</v>
      </c>
    </row>
    <row r="428" spans="1:39" x14ac:dyDescent="0.35">
      <c r="A428" s="6" t="e">
        <f>IF('Coach Card'!$T$5="",IF($B$1="Solo",IF(L427="","",L427),IF($B$1="MSolo",IF(O427="","",O427),IF($B$1="Duet",IF(R427="","",R427),IF($B$1="Mixed",IF(U427="","",U427),IF(X427="","",X427))))),IF($B$1="Solo",IF(L927="","",L927),IF($B$1="MSolo",IF(L927="","",L927),IF($B$1="Duet",IF(O927="","",O927),IF($B$1="Mixed",IF(R927="","",R927),IF(U927="","",U927))))))</f>
        <v>#N/A</v>
      </c>
      <c r="B428" s="3" t="e">
        <f>IF('Coach Card'!$T$5="",IF($B$1="Solo",IF(M427="","",M427),IF($B$1="MSolo",IF(P427="","",P427),IF($B$1="Duet",IF(S427="","",S427),IF($B$1="Mixed",IF(V427="","",V427),IF(Y427="","",Y427))))),IF($B$1="Solo",IF(M927="","",M927),IF($B$1="MSolo",IF(M927="","",M927),IF($B$1="Duet",IF(P927="","",P927),IF($B$1="Mixed",IF(S927="","",S927),IF(V927="","",V927))))))</f>
        <v>#N/A</v>
      </c>
      <c r="C428" s="3" t="e">
        <f>IF('Coach Card'!$T$5="",IF($B$1="Solo",IF(N427="","",N427),IF($B$1="MSolo",IF(Q427="","",Q427),IF($B$1="Duet",IF(T427="","",T427),IF($B$1="Mixed",IF(W427="","",W427),IF(Z427="","",Z427))))),IF($B$1="Solo",IF(N927="","",N927),IF($B$1="MSolo",IF(N927="","",N927),IF($B$1="Duet",IF(Q927="","",Q927),IF($B$1="Mixed",IF(T927="","",T927),IF(W927="","",W927))))))</f>
        <v>#N/A</v>
      </c>
      <c r="D428" s="3" t="e">
        <f>IF('Coach Card'!$T$5="",IF($D$1="Team",IF(AG427="","",AG427),""),IF($D$1="Team",IF(AD927="","",AD927),""))</f>
        <v>#N/A</v>
      </c>
      <c r="E428" s="3" t="e">
        <f>IF('Coach Card'!$T$5="",IF($D$1="Team",IF(AH427="","",AH427),""),IF($D$1="Team",IF(AE927="","",AE927),""))</f>
        <v>#N/A</v>
      </c>
      <c r="X428" s="1" t="s">
        <v>1631</v>
      </c>
      <c r="Y428" t="s">
        <v>2118</v>
      </c>
      <c r="Z428" s="3">
        <v>0.24</v>
      </c>
      <c r="AK428" t="s">
        <v>2013</v>
      </c>
      <c r="AL428" t="s">
        <v>1805</v>
      </c>
      <c r="AM428">
        <v>0.5</v>
      </c>
    </row>
    <row r="429" spans="1:39" x14ac:dyDescent="0.35">
      <c r="A429" s="6" t="e">
        <f>IF('Coach Card'!$T$5="",IF($B$1="Solo",IF(L428="","",L428),IF($B$1="MSolo",IF(O428="","",O428),IF($B$1="Duet",IF(R428="","",R428),IF($B$1="Mixed",IF(U428="","",U428),IF(X428="","",X428))))),IF($B$1="Solo",IF(L928="","",L928),IF($B$1="MSolo",IF(L928="","",L928),IF($B$1="Duet",IF(O928="","",O928),IF($B$1="Mixed",IF(R928="","",R928),IF(U928="","",U928))))))</f>
        <v>#N/A</v>
      </c>
      <c r="B429" s="3" t="e">
        <f>IF('Coach Card'!$T$5="",IF($B$1="Solo",IF(M428="","",M428),IF($B$1="MSolo",IF(P428="","",P428),IF($B$1="Duet",IF(S428="","",S428),IF($B$1="Mixed",IF(V428="","",V428),IF(Y428="","",Y428))))),IF($B$1="Solo",IF(M928="","",M928),IF($B$1="MSolo",IF(M928="","",M928),IF($B$1="Duet",IF(P928="","",P928),IF($B$1="Mixed",IF(S928="","",S928),IF(V928="","",V928))))))</f>
        <v>#N/A</v>
      </c>
      <c r="C429" s="3" t="e">
        <f>IF('Coach Card'!$T$5="",IF($B$1="Solo",IF(N428="","",N428),IF($B$1="MSolo",IF(Q428="","",Q428),IF($B$1="Duet",IF(T428="","",T428),IF($B$1="Mixed",IF(W428="","",W428),IF(Z428="","",Z428))))),IF($B$1="Solo",IF(N928="","",N928),IF($B$1="MSolo",IF(N928="","",N928),IF($B$1="Duet",IF(Q928="","",Q928),IF($B$1="Mixed",IF(T928="","",T928),IF(W928="","",W928))))))</f>
        <v>#N/A</v>
      </c>
      <c r="D429" s="3" t="e">
        <f>IF('Coach Card'!$T$5="",IF($D$1="Team",IF(AG428="","",AG428),""),IF($D$1="Team",IF(AD928="","",AD928),""))</f>
        <v>#N/A</v>
      </c>
      <c r="E429" s="3" t="e">
        <f>IF('Coach Card'!$T$5="",IF($D$1="Team",IF(AH428="","",AH428),""),IF($D$1="Team",IF(AE928="","",AE928),""))</f>
        <v>#N/A</v>
      </c>
      <c r="X429" s="1" t="s">
        <v>1631</v>
      </c>
      <c r="Y429" t="s">
        <v>2119</v>
      </c>
      <c r="Z429" s="3">
        <v>0.27</v>
      </c>
      <c r="AK429" t="s">
        <v>2113</v>
      </c>
      <c r="AL429" t="s">
        <v>1806</v>
      </c>
      <c r="AM429">
        <v>0.5</v>
      </c>
    </row>
    <row r="430" spans="1:39" x14ac:dyDescent="0.35">
      <c r="A430" s="6" t="e">
        <f>IF('Coach Card'!$T$5="",IF($B$1="Solo",IF(L429="","",L429),IF($B$1="MSolo",IF(O429="","",O429),IF($B$1="Duet",IF(R429="","",R429),IF($B$1="Mixed",IF(U429="","",U429),IF(X429="","",X429))))),IF($B$1="Solo",IF(L929="","",L929),IF($B$1="MSolo",IF(L929="","",L929),IF($B$1="Duet",IF(O929="","",O929),IF($B$1="Mixed",IF(R929="","",R929),IF(U929="","",U929))))))</f>
        <v>#N/A</v>
      </c>
      <c r="B430" s="3" t="e">
        <f>IF('Coach Card'!$T$5="",IF($B$1="Solo",IF(M429="","",M429),IF($B$1="MSolo",IF(P429="","",P429),IF($B$1="Duet",IF(S429="","",S429),IF($B$1="Mixed",IF(V429="","",V429),IF(Y429="","",Y429))))),IF($B$1="Solo",IF(M929="","",M929),IF($B$1="MSolo",IF(M929="","",M929),IF($B$1="Duet",IF(P929="","",P929),IF($B$1="Mixed",IF(S929="","",S929),IF(V929="","",V929))))))</f>
        <v>#N/A</v>
      </c>
      <c r="C430" s="3" t="e">
        <f>IF('Coach Card'!$T$5="",IF($B$1="Solo",IF(N429="","",N429),IF($B$1="MSolo",IF(Q429="","",Q429),IF($B$1="Duet",IF(T429="","",T429),IF($B$1="Mixed",IF(W429="","",W429),IF(Z429="","",Z429))))),IF($B$1="Solo",IF(N929="","",N929),IF($B$1="MSolo",IF(N929="","",N929),IF($B$1="Duet",IF(Q929="","",Q929),IF($B$1="Mixed",IF(T929="","",T929),IF(W929="","",W929))))))</f>
        <v>#N/A</v>
      </c>
      <c r="D430" s="3" t="e">
        <f>IF('Coach Card'!$T$5="",IF($D$1="Team",IF(AG429="","",AG429),""),IF($D$1="Team",IF(AD929="","",AD929),""))</f>
        <v>#N/A</v>
      </c>
      <c r="E430" s="3" t="e">
        <f>IF('Coach Card'!$T$5="",IF($D$1="Team",IF(AH429="","",AH429),""),IF($D$1="Team",IF(AE929="","",AE929),""))</f>
        <v>#N/A</v>
      </c>
      <c r="X430" s="1" t="s">
        <v>1631</v>
      </c>
      <c r="Y430" t="s">
        <v>2120</v>
      </c>
      <c r="Z430" s="3">
        <v>0.34499999999999997</v>
      </c>
      <c r="AK430" t="s">
        <v>2114</v>
      </c>
      <c r="AL430" t="s">
        <v>1807</v>
      </c>
      <c r="AM430">
        <v>0.5</v>
      </c>
    </row>
    <row r="431" spans="1:39" x14ac:dyDescent="0.35">
      <c r="A431" s="6" t="e">
        <f>IF('Coach Card'!$T$5="",IF($B$1="Solo",IF(L430="","",L430),IF($B$1="MSolo",IF(O430="","",O430),IF($B$1="Duet",IF(R430="","",R430),IF($B$1="Mixed",IF(U430="","",U430),IF(X430="","",X430))))),IF($B$1="Solo",IF(L930="","",L930),IF($B$1="MSolo",IF(L930="","",L930),IF($B$1="Duet",IF(O930="","",O930),IF($B$1="Mixed",IF(R930="","",R930),IF(U930="","",U930))))))</f>
        <v>#N/A</v>
      </c>
      <c r="B431" s="3" t="e">
        <f>IF('Coach Card'!$T$5="",IF($B$1="Solo",IF(M430="","",M430),IF($B$1="MSolo",IF(P430="","",P430),IF($B$1="Duet",IF(S430="","",S430),IF($B$1="Mixed",IF(V430="","",V430),IF(Y430="","",Y430))))),IF($B$1="Solo",IF(M930="","",M930),IF($B$1="MSolo",IF(M930="","",M930),IF($B$1="Duet",IF(P930="","",P930),IF($B$1="Mixed",IF(S930="","",S930),IF(V930="","",V930))))))</f>
        <v>#N/A</v>
      </c>
      <c r="C431" s="3" t="e">
        <f>IF('Coach Card'!$T$5="",IF($B$1="Solo",IF(N430="","",N430),IF($B$1="MSolo",IF(Q430="","",Q430),IF($B$1="Duet",IF(T430="","",T430),IF($B$1="Mixed",IF(W430="","",W430),IF(Z430="","",Z430))))),IF($B$1="Solo",IF(N930="","",N930),IF($B$1="MSolo",IF(N930="","",N930),IF($B$1="Duet",IF(Q930="","",Q930),IF($B$1="Mixed",IF(T930="","",T930),IF(W930="","",W930))))))</f>
        <v>#N/A</v>
      </c>
      <c r="D431" s="3" t="e">
        <f>IF('Coach Card'!$T$5="",IF($D$1="Team",IF(AG430="","",AG430),""),IF($D$1="Team",IF(AD930="","",AD930),""))</f>
        <v>#N/A</v>
      </c>
      <c r="E431" s="3" t="e">
        <f>IF('Coach Card'!$T$5="",IF($D$1="Team",IF(AH430="","",AH430),""),IF($D$1="Team",IF(AE930="","",AE930),""))</f>
        <v>#N/A</v>
      </c>
      <c r="X431" s="1" t="s">
        <v>1631</v>
      </c>
      <c r="Y431" t="s">
        <v>2464</v>
      </c>
      <c r="Z431" s="3">
        <v>0.435</v>
      </c>
      <c r="AK431" t="s">
        <v>2115</v>
      </c>
      <c r="AL431" t="s">
        <v>1808</v>
      </c>
      <c r="AM431">
        <v>0.5</v>
      </c>
    </row>
    <row r="432" spans="1:39" x14ac:dyDescent="0.35">
      <c r="A432" s="6" t="e">
        <f>IF('Coach Card'!$T$5="",IF($B$1="Solo",IF(L431="","",L431),IF($B$1="MSolo",IF(O431="","",O431),IF($B$1="Duet",IF(R431="","",R431),IF($B$1="Mixed",IF(U431="","",U431),IF(X431="","",X431))))),IF($B$1="Solo",IF(L931="","",L931),IF($B$1="MSolo",IF(L931="","",L931),IF($B$1="Duet",IF(O931="","",O931),IF($B$1="Mixed",IF(R931="","",R931),IF(U931="","",U931))))))</f>
        <v>#N/A</v>
      </c>
      <c r="B432" s="3" t="e">
        <f>IF('Coach Card'!$T$5="",IF($B$1="Solo",IF(M431="","",M431),IF($B$1="MSolo",IF(P431="","",P431),IF($B$1="Duet",IF(S431="","",S431),IF($B$1="Mixed",IF(V431="","",V431),IF(Y431="","",Y431))))),IF($B$1="Solo",IF(M931="","",M931),IF($B$1="MSolo",IF(M931="","",M931),IF($B$1="Duet",IF(P931="","",P931),IF($B$1="Mixed",IF(S931="","",S931),IF(V931="","",V931))))))</f>
        <v>#N/A</v>
      </c>
      <c r="C432" s="3" t="e">
        <f>IF('Coach Card'!$T$5="",IF($B$1="Solo",IF(N431="","",N431),IF($B$1="MSolo",IF(Q431="","",Q431),IF($B$1="Duet",IF(T431="","",T431),IF($B$1="Mixed",IF(W431="","",W431),IF(Z431="","",Z431))))),IF($B$1="Solo",IF(N931="","",N931),IF($B$1="MSolo",IF(N931="","",N931),IF($B$1="Duet",IF(Q931="","",Q931),IF($B$1="Mixed",IF(T931="","",T931),IF(W931="","",W931))))))</f>
        <v>#N/A</v>
      </c>
      <c r="D432" s="3" t="e">
        <f>IF('Coach Card'!$T$5="",IF($D$1="Team",IF(AG431="","",AG431),""),IF($D$1="Team",IF(AD931="","",AD931),""))</f>
        <v>#N/A</v>
      </c>
      <c r="E432" s="3" t="e">
        <f>IF('Coach Card'!$T$5="",IF($D$1="Team",IF(AH431="","",AH431),""),IF($D$1="Team",IF(AE931="","",AE931),""))</f>
        <v>#N/A</v>
      </c>
      <c r="X432" s="1" t="s">
        <v>1631</v>
      </c>
      <c r="Y432" t="s">
        <v>2465</v>
      </c>
      <c r="Z432" s="3">
        <v>0.49499999999999994</v>
      </c>
      <c r="AK432" t="s">
        <v>2116</v>
      </c>
      <c r="AL432" t="s">
        <v>1809</v>
      </c>
      <c r="AM432">
        <v>0.5</v>
      </c>
    </row>
    <row r="433" spans="1:39" x14ac:dyDescent="0.35">
      <c r="A433" s="6" t="e">
        <f>IF('Coach Card'!$T$5="",IF($B$1="Solo",IF(L432="","",L432),IF($B$1="MSolo",IF(O432="","",O432),IF($B$1="Duet",IF(R432="","",R432),IF($B$1="Mixed",IF(U432="","",U432),IF(X432="","",X432))))),IF($B$1="Solo",IF(L932="","",L932),IF($B$1="MSolo",IF(L932="","",L932),IF($B$1="Duet",IF(O932="","",O932),IF($B$1="Mixed",IF(R932="","",R932),IF(U932="","",U932))))))</f>
        <v>#N/A</v>
      </c>
      <c r="B433" s="3" t="e">
        <f>IF('Coach Card'!$T$5="",IF($B$1="Solo",IF(M432="","",M432),IF($B$1="MSolo",IF(P432="","",P432),IF($B$1="Duet",IF(S432="","",S432),IF($B$1="Mixed",IF(V432="","",V432),IF(Y432="","",Y432))))),IF($B$1="Solo",IF(M932="","",M932),IF($B$1="MSolo",IF(M932="","",M932),IF($B$1="Duet",IF(P932="","",P932),IF($B$1="Mixed",IF(S932="","",S932),IF(V932="","",V932))))))</f>
        <v>#N/A</v>
      </c>
      <c r="C433" s="3" t="e">
        <f>IF('Coach Card'!$T$5="",IF($B$1="Solo",IF(N432="","",N432),IF($B$1="MSolo",IF(Q432="","",Q432),IF($B$1="Duet",IF(T432="","",T432),IF($B$1="Mixed",IF(W432="","",W432),IF(Z432="","",Z432))))),IF($B$1="Solo",IF(N932="","",N932),IF($B$1="MSolo",IF(N932="","",N932),IF($B$1="Duet",IF(Q932="","",Q932),IF($B$1="Mixed",IF(T932="","",T932),IF(W932="","",W932))))))</f>
        <v>#N/A</v>
      </c>
      <c r="D433" s="3" t="e">
        <f>IF('Coach Card'!$T$5="",IF($D$1="Team",IF(AG432="","",AG432),""),IF($D$1="Team",IF(AD932="","",AD932),""))</f>
        <v>#N/A</v>
      </c>
      <c r="E433" s="3" t="e">
        <f>IF('Coach Card'!$T$5="",IF($D$1="Team",IF(AH432="","",AH432),""),IF($D$1="Team",IF(AE932="","",AE932),""))</f>
        <v>#N/A</v>
      </c>
      <c r="X433" s="1" t="s">
        <v>624</v>
      </c>
      <c r="Y433" t="s">
        <v>2121</v>
      </c>
      <c r="Z433" s="3">
        <v>1.4999999999999999E-2</v>
      </c>
      <c r="AK433" t="s">
        <v>2117</v>
      </c>
      <c r="AL433" t="s">
        <v>1694</v>
      </c>
      <c r="AM433">
        <v>0.5</v>
      </c>
    </row>
    <row r="434" spans="1:39" x14ac:dyDescent="0.35">
      <c r="A434" s="6" t="e">
        <f>IF('Coach Card'!$T$5="",IF($B$1="Solo",IF(L433="","",L433),IF($B$1="MSolo",IF(O433="","",O433),IF($B$1="Duet",IF(R433="","",R433),IF($B$1="Mixed",IF(U433="","",U433),IF(X433="","",X433))))),IF($B$1="Solo",IF(L933="","",L933),IF($B$1="MSolo",IF(L933="","",L933),IF($B$1="Duet",IF(O933="","",O933),IF($B$1="Mixed",IF(R933="","",R933),IF(U933="","",U933))))))</f>
        <v>#N/A</v>
      </c>
      <c r="B434" s="3" t="e">
        <f>IF('Coach Card'!$T$5="",IF($B$1="Solo",IF(M433="","",M433),IF($B$1="MSolo",IF(P433="","",P433),IF($B$1="Duet",IF(S433="","",S433),IF($B$1="Mixed",IF(V433="","",V433),IF(Y433="","",Y433))))),IF($B$1="Solo",IF(M933="","",M933),IF($B$1="MSolo",IF(M933="","",M933),IF($B$1="Duet",IF(P933="","",P933),IF($B$1="Mixed",IF(S933="","",S933),IF(V933="","",V933))))))</f>
        <v>#N/A</v>
      </c>
      <c r="C434" s="3" t="e">
        <f>IF('Coach Card'!$T$5="",IF($B$1="Solo",IF(N433="","",N433),IF($B$1="MSolo",IF(Q433="","",Q433),IF($B$1="Duet",IF(T433="","",T433),IF($B$1="Mixed",IF(W433="","",W433),IF(Z433="","",Z433))))),IF($B$1="Solo",IF(N933="","",N933),IF($B$1="MSolo",IF(N933="","",N933),IF($B$1="Duet",IF(Q933="","",Q933),IF($B$1="Mixed",IF(T933="","",T933),IF(W933="","",W933))))))</f>
        <v>#N/A</v>
      </c>
      <c r="D434" s="3" t="e">
        <f>IF('Coach Card'!$T$5="",IF($D$1="Team",IF(AG433="","",AG433),""),IF($D$1="Team",IF(AD933="","",AD933),""))</f>
        <v>#N/A</v>
      </c>
      <c r="E434" s="3" t="e">
        <f>IF('Coach Card'!$T$5="",IF($D$1="Team",IF(AH433="","",AH433),""),IF($D$1="Team",IF(AE933="","",AE933),""))</f>
        <v>#N/A</v>
      </c>
      <c r="X434" s="1" t="s">
        <v>624</v>
      </c>
      <c r="Y434" t="s">
        <v>2122</v>
      </c>
      <c r="Z434" s="3">
        <v>0.03</v>
      </c>
      <c r="AK434" t="s">
        <v>2118</v>
      </c>
      <c r="AL434" t="s">
        <v>1695</v>
      </c>
      <c r="AM434">
        <v>0.5</v>
      </c>
    </row>
    <row r="435" spans="1:39" x14ac:dyDescent="0.35">
      <c r="A435" s="6" t="e">
        <f>IF('Coach Card'!$T$5="",IF($B$1="Solo",IF(L434="","",L434),IF($B$1="MSolo",IF(O434="","",O434),IF($B$1="Duet",IF(R434="","",R434),IF($B$1="Mixed",IF(U434="","",U434),IF(X434="","",X434))))),IF($B$1="Solo",IF(L934="","",L934),IF($B$1="MSolo",IF(L934="","",L934),IF($B$1="Duet",IF(O934="","",O934),IF($B$1="Mixed",IF(R934="","",R934),IF(U934="","",U934))))))</f>
        <v>#N/A</v>
      </c>
      <c r="B435" s="3" t="e">
        <f>IF('Coach Card'!$T$5="",IF($B$1="Solo",IF(M434="","",M434),IF($B$1="MSolo",IF(P434="","",P434),IF($B$1="Duet",IF(S434="","",S434),IF($B$1="Mixed",IF(V434="","",V434),IF(Y434="","",Y434))))),IF($B$1="Solo",IF(M934="","",M934),IF($B$1="MSolo",IF(M934="","",M934),IF($B$1="Duet",IF(P934="","",P934),IF($B$1="Mixed",IF(S934="","",S934),IF(V934="","",V934))))))</f>
        <v>#N/A</v>
      </c>
      <c r="C435" s="3" t="e">
        <f>IF('Coach Card'!$T$5="",IF($B$1="Solo",IF(N434="","",N434),IF($B$1="MSolo",IF(Q434="","",Q434),IF($B$1="Duet",IF(T434="","",T434),IF($B$1="Mixed",IF(W434="","",W434),IF(Z434="","",Z434))))),IF($B$1="Solo",IF(N934="","",N934),IF($B$1="MSolo",IF(N934="","",N934),IF($B$1="Duet",IF(Q934="","",Q934),IF($B$1="Mixed",IF(T934="","",T934),IF(W934="","",W934))))))</f>
        <v>#N/A</v>
      </c>
      <c r="D435" s="3" t="e">
        <f>IF('Coach Card'!$T$5="",IF($D$1="Team",IF(AG434="","",AG434),""),IF($D$1="Team",IF(AD934="","",AD934),""))</f>
        <v>#N/A</v>
      </c>
      <c r="E435" s="3" t="e">
        <f>IF('Coach Card'!$T$5="",IF($D$1="Team",IF(AH434="","",AH434),""),IF($D$1="Team",IF(AE934="","",AE934),""))</f>
        <v>#N/A</v>
      </c>
      <c r="X435" s="1" t="s">
        <v>624</v>
      </c>
      <c r="Y435" t="s">
        <v>2123</v>
      </c>
      <c r="Z435" s="3">
        <v>0.03</v>
      </c>
      <c r="AK435" t="s">
        <v>2119</v>
      </c>
      <c r="AL435" t="s">
        <v>1696</v>
      </c>
      <c r="AM435">
        <v>0.5</v>
      </c>
    </row>
    <row r="436" spans="1:39" x14ac:dyDescent="0.35">
      <c r="A436" s="6" t="e">
        <f>IF('Coach Card'!$T$5="",IF($B$1="Solo",IF(L435="","",L435),IF($B$1="MSolo",IF(O435="","",O435),IF($B$1="Duet",IF(R435="","",R435),IF($B$1="Mixed",IF(U435="","",U435),IF(X435="","",X435))))),IF($B$1="Solo",IF(L935="","",L935),IF($B$1="MSolo",IF(L935="","",L935),IF($B$1="Duet",IF(O935="","",O935),IF($B$1="Mixed",IF(R935="","",R935),IF(U935="","",U935))))))</f>
        <v>#N/A</v>
      </c>
      <c r="B436" s="3" t="e">
        <f>IF('Coach Card'!$T$5="",IF($B$1="Solo",IF(M435="","",M435),IF($B$1="MSolo",IF(P435="","",P435),IF($B$1="Duet",IF(S435="","",S435),IF($B$1="Mixed",IF(V435="","",V435),IF(Y435="","",Y435))))),IF($B$1="Solo",IF(M935="","",M935),IF($B$1="MSolo",IF(M935="","",M935),IF($B$1="Duet",IF(P935="","",P935),IF($B$1="Mixed",IF(S935="","",S935),IF(V935="","",V935))))))</f>
        <v>#N/A</v>
      </c>
      <c r="C436" s="3" t="e">
        <f>IF('Coach Card'!$T$5="",IF($B$1="Solo",IF(N435="","",N435),IF($B$1="MSolo",IF(Q435="","",Q435),IF($B$1="Duet",IF(T435="","",T435),IF($B$1="Mixed",IF(W435="","",W435),IF(Z435="","",Z435))))),IF($B$1="Solo",IF(N935="","",N935),IF($B$1="MSolo",IF(N935="","",N935),IF($B$1="Duet",IF(Q935="","",Q935),IF($B$1="Mixed",IF(T935="","",T935),IF(W935="","",W935))))))</f>
        <v>#N/A</v>
      </c>
      <c r="D436" s="3" t="e">
        <f>IF('Coach Card'!$T$5="",IF($D$1="Team",IF(AG435="","",AG435),""),IF($D$1="Team",IF(AD935="","",AD935),""))</f>
        <v>#N/A</v>
      </c>
      <c r="E436" s="3" t="e">
        <f>IF('Coach Card'!$T$5="",IF($D$1="Team",IF(AH435="","",AH435),""),IF($D$1="Team",IF(AE935="","",AE935),""))</f>
        <v>#N/A</v>
      </c>
      <c r="X436" s="1" t="s">
        <v>624</v>
      </c>
      <c r="Y436" t="s">
        <v>2124</v>
      </c>
      <c r="Z436" s="3">
        <v>0.03</v>
      </c>
      <c r="AK436" t="s">
        <v>2120</v>
      </c>
      <c r="AL436" t="s">
        <v>1697</v>
      </c>
      <c r="AM436">
        <v>0.5</v>
      </c>
    </row>
    <row r="437" spans="1:39" x14ac:dyDescent="0.35">
      <c r="A437" s="6" t="e">
        <f>IF('Coach Card'!$T$5="",IF($B$1="Solo",IF(L436="","",L436),IF($B$1="MSolo",IF(O436="","",O436),IF($B$1="Duet",IF(R436="","",R436),IF($B$1="Mixed",IF(U436="","",U436),IF(X436="","",X436))))),IF($B$1="Solo",IF(L936="","",L936),IF($B$1="MSolo",IF(L936="","",L936),IF($B$1="Duet",IF(O936="","",O936),IF($B$1="Mixed",IF(R936="","",R936),IF(U936="","",U936))))))</f>
        <v>#N/A</v>
      </c>
      <c r="B437" s="3" t="e">
        <f>IF('Coach Card'!$T$5="",IF($B$1="Solo",IF(M436="","",M436),IF($B$1="MSolo",IF(P436="","",P436),IF($B$1="Duet",IF(S436="","",S436),IF($B$1="Mixed",IF(V436="","",V436),IF(Y436="","",Y436))))),IF($B$1="Solo",IF(M936="","",M936),IF($B$1="MSolo",IF(M936="","",M936),IF($B$1="Duet",IF(P936="","",P936),IF($B$1="Mixed",IF(S936="","",S936),IF(V936="","",V936))))))</f>
        <v>#N/A</v>
      </c>
      <c r="C437" s="3" t="e">
        <f>IF('Coach Card'!$T$5="",IF($B$1="Solo",IF(N436="","",N436),IF($B$1="MSolo",IF(Q436="","",Q436),IF($B$1="Duet",IF(T436="","",T436),IF($B$1="Mixed",IF(W436="","",W436),IF(Z436="","",Z436))))),IF($B$1="Solo",IF(N936="","",N936),IF($B$1="MSolo",IF(N936="","",N936),IF($B$1="Duet",IF(Q936="","",Q936),IF($B$1="Mixed",IF(T936="","",T936),IF(W936="","",W936))))))</f>
        <v>#N/A</v>
      </c>
      <c r="D437" s="3" t="e">
        <f>IF('Coach Card'!$T$5="",IF($D$1="Team",IF(AG436="","",AG436),""),IF($D$1="Team",IF(AD936="","",AD936),""))</f>
        <v>#N/A</v>
      </c>
      <c r="E437" s="3" t="e">
        <f>IF('Coach Card'!$T$5="",IF($D$1="Team",IF(AH436="","",AH436),""),IF($D$1="Team",IF(AE936="","",AE936),""))</f>
        <v>#N/A</v>
      </c>
      <c r="X437" s="1" t="s">
        <v>624</v>
      </c>
      <c r="Y437" t="s">
        <v>2125</v>
      </c>
      <c r="Z437" s="3">
        <v>0.06</v>
      </c>
      <c r="AK437" t="s">
        <v>2464</v>
      </c>
      <c r="AL437" t="s">
        <v>2454</v>
      </c>
      <c r="AM437">
        <v>0.5</v>
      </c>
    </row>
    <row r="438" spans="1:39" x14ac:dyDescent="0.35">
      <c r="A438" s="6" t="e">
        <f>IF('Coach Card'!$T$5="",IF($B$1="Solo",IF(L437="","",L437),IF($B$1="MSolo",IF(O437="","",O437),IF($B$1="Duet",IF(R437="","",R437),IF($B$1="Mixed",IF(U437="","",U437),IF(X437="","",X437))))),IF($B$1="Solo",IF(L937="","",L937),IF($B$1="MSolo",IF(L937="","",L937),IF($B$1="Duet",IF(O937="","",O937),IF($B$1="Mixed",IF(R937="","",R937),IF(U937="","",U937))))))</f>
        <v>#N/A</v>
      </c>
      <c r="B438" s="3" t="e">
        <f>IF('Coach Card'!$T$5="",IF($B$1="Solo",IF(M437="","",M437),IF($B$1="MSolo",IF(P437="","",P437),IF($B$1="Duet",IF(S437="","",S437),IF($B$1="Mixed",IF(V437="","",V437),IF(Y437="","",Y437))))),IF($B$1="Solo",IF(M937="","",M937),IF($B$1="MSolo",IF(M937="","",M937),IF($B$1="Duet",IF(P937="","",P937),IF($B$1="Mixed",IF(S937="","",S937),IF(V937="","",V937))))))</f>
        <v>#N/A</v>
      </c>
      <c r="C438" s="3" t="e">
        <f>IF('Coach Card'!$T$5="",IF($B$1="Solo",IF(N437="","",N437),IF($B$1="MSolo",IF(Q437="","",Q437),IF($B$1="Duet",IF(T437="","",T437),IF($B$1="Mixed",IF(W437="","",W437),IF(Z437="","",Z437))))),IF($B$1="Solo",IF(N937="","",N937),IF($B$1="MSolo",IF(N937="","",N937),IF($B$1="Duet",IF(Q937="","",Q937),IF($B$1="Mixed",IF(T937="","",T937),IF(W937="","",W937))))))</f>
        <v>#N/A</v>
      </c>
      <c r="D438" s="3" t="e">
        <f>IF('Coach Card'!$T$5="",IF($D$1="Team",IF(AG437="","",AG437),""),IF($D$1="Team",IF(AD937="","",AD937),""))</f>
        <v>#N/A</v>
      </c>
      <c r="E438" s="3" t="e">
        <f>IF('Coach Card'!$T$5="",IF($D$1="Team",IF(AH437="","",AH437),""),IF($D$1="Team",IF(AE937="","",AE937),""))</f>
        <v>#N/A</v>
      </c>
      <c r="X438" s="1" t="s">
        <v>624</v>
      </c>
      <c r="Y438" t="s">
        <v>2126</v>
      </c>
      <c r="Z438" s="3">
        <v>0.06</v>
      </c>
      <c r="AK438" t="s">
        <v>2465</v>
      </c>
      <c r="AL438" t="s">
        <v>2455</v>
      </c>
      <c r="AM438">
        <v>0.5</v>
      </c>
    </row>
    <row r="439" spans="1:39" x14ac:dyDescent="0.35">
      <c r="A439" s="6" t="e">
        <f>IF('Coach Card'!$T$5="",IF($B$1="Solo",IF(L438="","",L438),IF($B$1="MSolo",IF(O438="","",O438),IF($B$1="Duet",IF(R438="","",R438),IF($B$1="Mixed",IF(U438="","",U438),IF(X438="","",X438))))),IF($B$1="Solo",IF(L938="","",L938),IF($B$1="MSolo",IF(L938="","",L938),IF($B$1="Duet",IF(O938="","",O938),IF($B$1="Mixed",IF(R938="","",R938),IF(U938="","",U938))))))</f>
        <v>#N/A</v>
      </c>
      <c r="B439" s="3" t="e">
        <f>IF('Coach Card'!$T$5="",IF($B$1="Solo",IF(M438="","",M438),IF($B$1="MSolo",IF(P438="","",P438),IF($B$1="Duet",IF(S438="","",S438),IF($B$1="Mixed",IF(V438="","",V438),IF(Y438="","",Y438))))),IF($B$1="Solo",IF(M938="","",M938),IF($B$1="MSolo",IF(M938="","",M938),IF($B$1="Duet",IF(P938="","",P938),IF($B$1="Mixed",IF(S938="","",S938),IF(V938="","",V938))))))</f>
        <v>#N/A</v>
      </c>
      <c r="C439" s="3" t="e">
        <f>IF('Coach Card'!$T$5="",IF($B$1="Solo",IF(N438="","",N438),IF($B$1="MSolo",IF(Q438="","",Q438),IF($B$1="Duet",IF(T438="","",T438),IF($B$1="Mixed",IF(W438="","",W438),IF(Z438="","",Z438))))),IF($B$1="Solo",IF(N938="","",N938),IF($B$1="MSolo",IF(N938="","",N938),IF($B$1="Duet",IF(Q938="","",Q938),IF($B$1="Mixed",IF(T938="","",T938),IF(W938="","",W938))))))</f>
        <v>#N/A</v>
      </c>
      <c r="D439" s="3" t="e">
        <f>IF('Coach Card'!$T$5="",IF($D$1="Team",IF(AG438="","",AG438),""),IF($D$1="Team",IF(AD938="","",AD938),""))</f>
        <v>#N/A</v>
      </c>
      <c r="E439" s="3" t="e">
        <f>IF('Coach Card'!$T$5="",IF($D$1="Team",IF(AH438="","",AH438),""),IF($D$1="Team",IF(AE938="","",AE938),""))</f>
        <v>#N/A</v>
      </c>
      <c r="X439" s="1" t="s">
        <v>624</v>
      </c>
      <c r="Y439" t="s">
        <v>2127</v>
      </c>
      <c r="Z439" s="3">
        <v>0.06</v>
      </c>
      <c r="AK439" t="s">
        <v>2121</v>
      </c>
      <c r="AL439" t="s">
        <v>1698</v>
      </c>
      <c r="AM439">
        <v>0.5</v>
      </c>
    </row>
    <row r="440" spans="1:39" x14ac:dyDescent="0.35">
      <c r="A440" s="6" t="e">
        <f>IF('Coach Card'!$T$5="",IF($B$1="Solo",IF(L439="","",L439),IF($B$1="MSolo",IF(O439="","",O439),IF($B$1="Duet",IF(R439="","",R439),IF($B$1="Mixed",IF(U439="","",U439),IF(X439="","",X439))))),IF($B$1="Solo",IF(L939="","",L939),IF($B$1="MSolo",IF(L939="","",L939),IF($B$1="Duet",IF(O939="","",O939),IF($B$1="Mixed",IF(R939="","",R939),IF(U939="","",U939))))))</f>
        <v>#N/A</v>
      </c>
      <c r="B440" s="3" t="e">
        <f>IF('Coach Card'!$T$5="",IF($B$1="Solo",IF(M439="","",M439),IF($B$1="MSolo",IF(P439="","",P439),IF($B$1="Duet",IF(S439="","",S439),IF($B$1="Mixed",IF(V439="","",V439),IF(Y439="","",Y439))))),IF($B$1="Solo",IF(M939="","",M939),IF($B$1="MSolo",IF(M939="","",M939),IF($B$1="Duet",IF(P939="","",P939),IF($B$1="Mixed",IF(S939="","",S939),IF(V939="","",V939))))))</f>
        <v>#N/A</v>
      </c>
      <c r="C440" s="3" t="e">
        <f>IF('Coach Card'!$T$5="",IF($B$1="Solo",IF(N439="","",N439),IF($B$1="MSolo",IF(Q439="","",Q439),IF($B$1="Duet",IF(T439="","",T439),IF($B$1="Mixed",IF(W439="","",W439),IF(Z439="","",Z439))))),IF($B$1="Solo",IF(N939="","",N939),IF($B$1="MSolo",IF(N939="","",N939),IF($B$1="Duet",IF(Q939="","",Q939),IF($B$1="Mixed",IF(T939="","",T939),IF(W939="","",W939))))))</f>
        <v>#N/A</v>
      </c>
      <c r="D440" s="3" t="e">
        <f>IF('Coach Card'!$T$5="",IF($D$1="Team",IF(AG439="","",AG439),""),IF($D$1="Team",IF(AD939="","",AD939),""))</f>
        <v>#N/A</v>
      </c>
      <c r="E440" s="3" t="e">
        <f>IF('Coach Card'!$T$5="",IF($D$1="Team",IF(AH439="","",AH439),""),IF($D$1="Team",IF(AE939="","",AE939),""))</f>
        <v>#N/A</v>
      </c>
      <c r="X440" s="1" t="s">
        <v>624</v>
      </c>
      <c r="Y440" t="s">
        <v>2128</v>
      </c>
      <c r="Z440" s="3">
        <v>0.09</v>
      </c>
      <c r="AK440" t="s">
        <v>2122</v>
      </c>
      <c r="AL440" t="s">
        <v>1810</v>
      </c>
      <c r="AM440">
        <v>0.5</v>
      </c>
    </row>
    <row r="441" spans="1:39" x14ac:dyDescent="0.35">
      <c r="A441" s="6" t="e">
        <f>IF('Coach Card'!$T$5="",IF($B$1="Solo",IF(L440="","",L440),IF($B$1="MSolo",IF(O440="","",O440),IF($B$1="Duet",IF(R440="","",R440),IF($B$1="Mixed",IF(U440="","",U440),IF(X440="","",X440))))),IF($B$1="Solo",IF(L940="","",L940),IF($B$1="MSolo",IF(L940="","",L940),IF($B$1="Duet",IF(O940="","",O940),IF($B$1="Mixed",IF(R940="","",R940),IF(U940="","",U940))))))</f>
        <v>#N/A</v>
      </c>
      <c r="B441" s="3" t="e">
        <f>IF('Coach Card'!$T$5="",IF($B$1="Solo",IF(M440="","",M440),IF($B$1="MSolo",IF(P440="","",P440),IF($B$1="Duet",IF(S440="","",S440),IF($B$1="Mixed",IF(V440="","",V440),IF(Y440="","",Y440))))),IF($B$1="Solo",IF(M940="","",M940),IF($B$1="MSolo",IF(M940="","",M940),IF($B$1="Duet",IF(P940="","",P940),IF($B$1="Mixed",IF(S940="","",S940),IF(V940="","",V940))))))</f>
        <v>#N/A</v>
      </c>
      <c r="C441" s="3" t="e">
        <f>IF('Coach Card'!$T$5="",IF($B$1="Solo",IF(N440="","",N440),IF($B$1="MSolo",IF(Q440="","",Q440),IF($B$1="Duet",IF(T440="","",T440),IF($B$1="Mixed",IF(W440="","",W440),IF(Z440="","",Z440))))),IF($B$1="Solo",IF(N940="","",N940),IF($B$1="MSolo",IF(N940="","",N940),IF($B$1="Duet",IF(Q940="","",Q940),IF($B$1="Mixed",IF(T940="","",T940),IF(W940="","",W940))))))</f>
        <v>#N/A</v>
      </c>
      <c r="D441" s="3" t="e">
        <f>IF('Coach Card'!$T$5="",IF($D$1="Team",IF(AG440="","",AG440),""),IF($D$1="Team",IF(AD940="","",AD940),""))</f>
        <v>#N/A</v>
      </c>
      <c r="E441" s="3" t="e">
        <f>IF('Coach Card'!$T$5="",IF($D$1="Team",IF(AH440="","",AH440),""),IF($D$1="Team",IF(AE940="","",AE940),""))</f>
        <v>#N/A</v>
      </c>
      <c r="X441" s="1" t="s">
        <v>624</v>
      </c>
      <c r="Y441" t="s">
        <v>2129</v>
      </c>
      <c r="Z441" s="3">
        <v>0.09</v>
      </c>
      <c r="AK441" t="s">
        <v>2123</v>
      </c>
      <c r="AL441" t="s">
        <v>1811</v>
      </c>
      <c r="AM441">
        <v>0.5</v>
      </c>
    </row>
    <row r="442" spans="1:39" x14ac:dyDescent="0.35">
      <c r="A442" s="6" t="e">
        <f>IF('Coach Card'!$T$5="",IF($B$1="Solo",IF(L441="","",L441),IF($B$1="MSolo",IF(O441="","",O441),IF($B$1="Duet",IF(R441="","",R441),IF($B$1="Mixed",IF(U441="","",U441),IF(X441="","",X441))))),IF($B$1="Solo",IF(L941="","",L941),IF($B$1="MSolo",IF(L941="","",L941),IF($B$1="Duet",IF(O941="","",O941),IF($B$1="Mixed",IF(R941="","",R941),IF(U941="","",U941))))))</f>
        <v>#N/A</v>
      </c>
      <c r="B442" s="3" t="e">
        <f>IF('Coach Card'!$T$5="",IF($B$1="Solo",IF(M441="","",M441),IF($B$1="MSolo",IF(P441="","",P441),IF($B$1="Duet",IF(S441="","",S441),IF($B$1="Mixed",IF(V441="","",V441),IF(Y441="","",Y441))))),IF($B$1="Solo",IF(M941="","",M941),IF($B$1="MSolo",IF(M941="","",M941),IF($B$1="Duet",IF(P941="","",P941),IF($B$1="Mixed",IF(S941="","",S941),IF(V941="","",V941))))))</f>
        <v>#N/A</v>
      </c>
      <c r="C442" s="3" t="e">
        <f>IF('Coach Card'!$T$5="",IF($B$1="Solo",IF(N441="","",N441),IF($B$1="MSolo",IF(Q441="","",Q441),IF($B$1="Duet",IF(T441="","",T441),IF($B$1="Mixed",IF(W441="","",W441),IF(Z441="","",Z441))))),IF($B$1="Solo",IF(N941="","",N941),IF($B$1="MSolo",IF(N941="","",N941),IF($B$1="Duet",IF(Q941="","",Q941),IF($B$1="Mixed",IF(T941="","",T941),IF(W941="","",W941))))))</f>
        <v>#N/A</v>
      </c>
      <c r="D442" s="3" t="e">
        <f>IF('Coach Card'!$T$5="",IF($D$1="Team",IF(AG441="","",AG441),""),IF($D$1="Team",IF(AD941="","",AD941),""))</f>
        <v>#N/A</v>
      </c>
      <c r="E442" s="3" t="e">
        <f>IF('Coach Card'!$T$5="",IF($D$1="Team",IF(AH441="","",AH441),""),IF($D$1="Team",IF(AE941="","",AE941),""))</f>
        <v>#N/A</v>
      </c>
      <c r="X442" s="1" t="s">
        <v>624</v>
      </c>
      <c r="Y442" t="s">
        <v>2130</v>
      </c>
      <c r="Z442" s="3">
        <v>0.09</v>
      </c>
      <c r="AK442" t="s">
        <v>2124</v>
      </c>
      <c r="AL442" t="s">
        <v>1812</v>
      </c>
      <c r="AM442">
        <v>0.5</v>
      </c>
    </row>
    <row r="443" spans="1:39" x14ac:dyDescent="0.35">
      <c r="A443" s="6" t="e">
        <f>IF('Coach Card'!$T$5="",IF($B$1="Solo",IF(L442="","",L442),IF($B$1="MSolo",IF(O442="","",O442),IF($B$1="Duet",IF(R442="","",R442),IF($B$1="Mixed",IF(U442="","",U442),IF(X442="","",X442))))),IF($B$1="Solo",IF(L942="","",L942),IF($B$1="MSolo",IF(L942="","",L942),IF($B$1="Duet",IF(O942="","",O942),IF($B$1="Mixed",IF(R942="","",R942),IF(U942="","",U942))))))</f>
        <v>#N/A</v>
      </c>
      <c r="B443" s="3" t="e">
        <f>IF('Coach Card'!$T$5="",IF($B$1="Solo",IF(M442="","",M442),IF($B$1="MSolo",IF(P442="","",P442),IF($B$1="Duet",IF(S442="","",S442),IF($B$1="Mixed",IF(V442="","",V442),IF(Y442="","",Y442))))),IF($B$1="Solo",IF(M942="","",M942),IF($B$1="MSolo",IF(M942="","",M942),IF($B$1="Duet",IF(P942="","",P942),IF($B$1="Mixed",IF(S942="","",S942),IF(V942="","",V942))))))</f>
        <v>#N/A</v>
      </c>
      <c r="C443" s="3" t="e">
        <f>IF('Coach Card'!$T$5="",IF($B$1="Solo",IF(N442="","",N442),IF($B$1="MSolo",IF(Q442="","",Q442),IF($B$1="Duet",IF(T442="","",T442),IF($B$1="Mixed",IF(W442="","",W442),IF(Z442="","",Z442))))),IF($B$1="Solo",IF(N942="","",N942),IF($B$1="MSolo",IF(N942="","",N942),IF($B$1="Duet",IF(Q942="","",Q942),IF($B$1="Mixed",IF(T942="","",T942),IF(W942="","",W942))))))</f>
        <v>#N/A</v>
      </c>
      <c r="D443" s="3" t="e">
        <f>IF('Coach Card'!$T$5="",IF($D$1="Team",IF(AG442="","",AG442),""),IF($D$1="Team",IF(AD942="","",AD942),""))</f>
        <v>#N/A</v>
      </c>
      <c r="E443" s="3" t="e">
        <f>IF('Coach Card'!$T$5="",IF($D$1="Team",IF(AH442="","",AH442),""),IF($D$1="Team",IF(AE942="","",AE942),""))</f>
        <v>#N/A</v>
      </c>
      <c r="X443" s="1" t="s">
        <v>624</v>
      </c>
      <c r="Y443" t="s">
        <v>2466</v>
      </c>
      <c r="Z443" s="3">
        <v>0.09</v>
      </c>
      <c r="AK443" t="s">
        <v>2125</v>
      </c>
      <c r="AL443" t="s">
        <v>1813</v>
      </c>
      <c r="AM443">
        <v>0.5</v>
      </c>
    </row>
    <row r="444" spans="1:39" x14ac:dyDescent="0.35">
      <c r="A444" s="6" t="e">
        <f>IF('Coach Card'!$T$5="",IF($B$1="Solo",IF(L443="","",L443),IF($B$1="MSolo",IF(O443="","",O443),IF($B$1="Duet",IF(R443="","",R443),IF($B$1="Mixed",IF(U443="","",U443),IF(X443="","",X443))))),IF($B$1="Solo",IF(L943="","",L943),IF($B$1="MSolo",IF(L943="","",L943),IF($B$1="Duet",IF(O943="","",O943),IF($B$1="Mixed",IF(R943="","",R943),IF(U943="","",U943))))))</f>
        <v>#N/A</v>
      </c>
      <c r="B444" s="3" t="e">
        <f>IF('Coach Card'!$T$5="",IF($B$1="Solo",IF(M443="","",M443),IF($B$1="MSolo",IF(P443="","",P443),IF($B$1="Duet",IF(S443="","",S443),IF($B$1="Mixed",IF(V443="","",V443),IF(Y443="","",Y443))))),IF($B$1="Solo",IF(M943="","",M943),IF($B$1="MSolo",IF(M943="","",M943),IF($B$1="Duet",IF(P943="","",P943),IF($B$1="Mixed",IF(S943="","",S943),IF(V943="","",V943))))))</f>
        <v>#N/A</v>
      </c>
      <c r="C444" s="3" t="e">
        <f>IF('Coach Card'!$T$5="",IF($B$1="Solo",IF(N443="","",N443),IF($B$1="MSolo",IF(Q443="","",Q443),IF($B$1="Duet",IF(T443="","",T443),IF($B$1="Mixed",IF(W443="","",W443),IF(Z443="","",Z443))))),IF($B$1="Solo",IF(N943="","",N943),IF($B$1="MSolo",IF(N943="","",N943),IF($B$1="Duet",IF(Q943="","",Q943),IF($B$1="Mixed",IF(T943="","",T943),IF(W943="","",W943))))))</f>
        <v>#N/A</v>
      </c>
      <c r="D444" s="3" t="e">
        <f>IF('Coach Card'!$T$5="",IF($D$1="Team",IF(AG443="","",AG443),""),IF($D$1="Team",IF(AD943="","",AD943),""))</f>
        <v>#N/A</v>
      </c>
      <c r="E444" s="3" t="e">
        <f>IF('Coach Card'!$T$5="",IF($D$1="Team",IF(AH443="","",AH443),""),IF($D$1="Team",IF(AE943="","",AE943),""))</f>
        <v>#N/A</v>
      </c>
      <c r="X444" s="1" t="s">
        <v>624</v>
      </c>
      <c r="Y444" t="s">
        <v>2131</v>
      </c>
      <c r="Z444" s="3">
        <v>0.105</v>
      </c>
      <c r="AK444" t="s">
        <v>2126</v>
      </c>
      <c r="AL444" t="s">
        <v>1814</v>
      </c>
      <c r="AM444">
        <v>0.5</v>
      </c>
    </row>
    <row r="445" spans="1:39" x14ac:dyDescent="0.35">
      <c r="A445" s="6" t="e">
        <f>IF('Coach Card'!$T$5="",IF($B$1="Solo",IF(L444="","",L444),IF($B$1="MSolo",IF(O444="","",O444),IF($B$1="Duet",IF(R444="","",R444),IF($B$1="Mixed",IF(U444="","",U444),IF(X444="","",X444))))),IF($B$1="Solo",IF(L944="","",L944),IF($B$1="MSolo",IF(L944="","",L944),IF($B$1="Duet",IF(O944="","",O944),IF($B$1="Mixed",IF(R944="","",R944),IF(U944="","",U944))))))</f>
        <v>#N/A</v>
      </c>
      <c r="B445" s="3" t="e">
        <f>IF('Coach Card'!$T$5="",IF($B$1="Solo",IF(M444="","",M444),IF($B$1="MSolo",IF(P444="","",P444),IF($B$1="Duet",IF(S444="","",S444),IF($B$1="Mixed",IF(V444="","",V444),IF(Y444="","",Y444))))),IF($B$1="Solo",IF(M944="","",M944),IF($B$1="MSolo",IF(M944="","",M944),IF($B$1="Duet",IF(P944="","",P944),IF($B$1="Mixed",IF(S944="","",S944),IF(V944="","",V944))))))</f>
        <v>#N/A</v>
      </c>
      <c r="C445" s="3" t="e">
        <f>IF('Coach Card'!$T$5="",IF($B$1="Solo",IF(N444="","",N444),IF($B$1="MSolo",IF(Q444="","",Q444),IF($B$1="Duet",IF(T444="","",T444),IF($B$1="Mixed",IF(W444="","",W444),IF(Z444="","",Z444))))),IF($B$1="Solo",IF(N944="","",N944),IF($B$1="MSolo",IF(N944="","",N944),IF($B$1="Duet",IF(Q944="","",Q944),IF($B$1="Mixed",IF(T944="","",T944),IF(W944="","",W944))))))</f>
        <v>#N/A</v>
      </c>
      <c r="D445" s="3" t="e">
        <f>IF('Coach Card'!$T$5="",IF($D$1="Team",IF(AG444="","",AG444),""),IF($D$1="Team",IF(AD944="","",AD944),""))</f>
        <v>#N/A</v>
      </c>
      <c r="E445" s="3" t="e">
        <f>IF('Coach Card'!$T$5="",IF($D$1="Team",IF(AH444="","",AH444),""),IF($D$1="Team",IF(AE944="","",AE944),""))</f>
        <v>#N/A</v>
      </c>
      <c r="X445" s="1" t="s">
        <v>624</v>
      </c>
      <c r="Y445" t="s">
        <v>2132</v>
      </c>
      <c r="Z445" s="3">
        <v>0.105</v>
      </c>
      <c r="AK445" t="s">
        <v>2127</v>
      </c>
      <c r="AL445" t="s">
        <v>1815</v>
      </c>
      <c r="AM445">
        <v>0.5</v>
      </c>
    </row>
    <row r="446" spans="1:39" x14ac:dyDescent="0.35">
      <c r="A446" s="6" t="e">
        <f>IF('Coach Card'!$T$5="",IF($B$1="Solo",IF(L445="","",L445),IF($B$1="MSolo",IF(O445="","",O445),IF($B$1="Duet",IF(R445="","",R445),IF($B$1="Mixed",IF(U445="","",U445),IF(X445="","",X445))))),IF($B$1="Solo",IF(L945="","",L945),IF($B$1="MSolo",IF(L945="","",L945),IF($B$1="Duet",IF(O945="","",O945),IF($B$1="Mixed",IF(R945="","",R945),IF(U945="","",U945))))))</f>
        <v>#N/A</v>
      </c>
      <c r="B446" s="3" t="e">
        <f>IF('Coach Card'!$T$5="",IF($B$1="Solo",IF(M445="","",M445),IF($B$1="MSolo",IF(P445="","",P445),IF($B$1="Duet",IF(S445="","",S445),IF($B$1="Mixed",IF(V445="","",V445),IF(Y445="","",Y445))))),IF($B$1="Solo",IF(M945="","",M945),IF($B$1="MSolo",IF(M945="","",M945),IF($B$1="Duet",IF(P945="","",P945),IF($B$1="Mixed",IF(S945="","",S945),IF(V945="","",V945))))))</f>
        <v>#N/A</v>
      </c>
      <c r="C446" s="3" t="e">
        <f>IF('Coach Card'!$T$5="",IF($B$1="Solo",IF(N445="","",N445),IF($B$1="MSolo",IF(Q445="","",Q445),IF($B$1="Duet",IF(T445="","",T445),IF($B$1="Mixed",IF(W445="","",W445),IF(Z445="","",Z445))))),IF($B$1="Solo",IF(N945="","",N945),IF($B$1="MSolo",IF(N945="","",N945),IF($B$1="Duet",IF(Q945="","",Q945),IF($B$1="Mixed",IF(T945="","",T945),IF(W945="","",W945))))))</f>
        <v>#N/A</v>
      </c>
      <c r="D446" s="3" t="e">
        <f>IF('Coach Card'!$T$5="",IF($D$1="Team",IF(AG445="","",AG445),""),IF($D$1="Team",IF(AD945="","",AD945),""))</f>
        <v>#N/A</v>
      </c>
      <c r="E446" s="3" t="e">
        <f>IF('Coach Card'!$T$5="",IF($D$1="Team",IF(AH445="","",AH445),""),IF($D$1="Team",IF(AE945="","",AE945),""))</f>
        <v>#N/A</v>
      </c>
      <c r="X446" s="1" t="s">
        <v>624</v>
      </c>
      <c r="Y446" t="s">
        <v>2133</v>
      </c>
      <c r="Z446" s="3">
        <v>0.105</v>
      </c>
      <c r="AK446" t="s">
        <v>2128</v>
      </c>
      <c r="AL446" t="s">
        <v>1816</v>
      </c>
      <c r="AM446">
        <v>0.5</v>
      </c>
    </row>
    <row r="447" spans="1:39" x14ac:dyDescent="0.35">
      <c r="A447" s="6" t="e">
        <f>IF('Coach Card'!$T$5="",IF($B$1="Solo",IF(L446="","",L446),IF($B$1="MSolo",IF(O446="","",O446),IF($B$1="Duet",IF(R446="","",R446),IF($B$1="Mixed",IF(U446="","",U446),IF(X446="","",X446))))),IF($B$1="Solo",IF(L946="","",L946),IF($B$1="MSolo",IF(L946="","",L946),IF($B$1="Duet",IF(O946="","",O946),IF($B$1="Mixed",IF(R946="","",R946),IF(U946="","",U946))))))</f>
        <v>#N/A</v>
      </c>
      <c r="B447" s="3" t="e">
        <f>IF('Coach Card'!$T$5="",IF($B$1="Solo",IF(M446="","",M446),IF($B$1="MSolo",IF(P446="","",P446),IF($B$1="Duet",IF(S446="","",S446),IF($B$1="Mixed",IF(V446="","",V446),IF(Y446="","",Y446))))),IF($B$1="Solo",IF(M946="","",M946),IF($B$1="MSolo",IF(M946="","",M946),IF($B$1="Duet",IF(P946="","",P946),IF($B$1="Mixed",IF(S946="","",S946),IF(V946="","",V946))))))</f>
        <v>#N/A</v>
      </c>
      <c r="C447" s="3" t="e">
        <f>IF('Coach Card'!$T$5="",IF($B$1="Solo",IF(N446="","",N446),IF($B$1="MSolo",IF(Q446="","",Q446),IF($B$1="Duet",IF(T446="","",T446),IF($B$1="Mixed",IF(W446="","",W446),IF(Z446="","",Z446))))),IF($B$1="Solo",IF(N946="","",N946),IF($B$1="MSolo",IF(N946="","",N946),IF($B$1="Duet",IF(Q946="","",Q946),IF($B$1="Mixed",IF(T946="","",T946),IF(W946="","",W946))))))</f>
        <v>#N/A</v>
      </c>
      <c r="D447" s="3" t="e">
        <f>IF('Coach Card'!$T$5="",IF($D$1="Team",IF(AG446="","",AG446),""),IF($D$1="Team",IF(AD946="","",AD946),""))</f>
        <v>#N/A</v>
      </c>
      <c r="E447" s="3" t="e">
        <f>IF('Coach Card'!$T$5="",IF($D$1="Team",IF(AH446="","",AH446),""),IF($D$1="Team",IF(AE946="","",AE946),""))</f>
        <v>#N/A</v>
      </c>
      <c r="X447" s="1" t="s">
        <v>624</v>
      </c>
      <c r="Y447" t="s">
        <v>2134</v>
      </c>
      <c r="Z447" s="3">
        <v>0.105</v>
      </c>
      <c r="AK447" t="s">
        <v>2129</v>
      </c>
      <c r="AL447" t="s">
        <v>1817</v>
      </c>
      <c r="AM447">
        <v>0.5</v>
      </c>
    </row>
    <row r="448" spans="1:39" x14ac:dyDescent="0.35">
      <c r="A448" s="6" t="e">
        <f>IF('Coach Card'!$T$5="",IF($B$1="Solo",IF(L447="","",L447),IF($B$1="MSolo",IF(O447="","",O447),IF($B$1="Duet",IF(R447="","",R447),IF($B$1="Mixed",IF(U447="","",U447),IF(X447="","",X447))))),IF($B$1="Solo",IF(L947="","",L947),IF($B$1="MSolo",IF(L947="","",L947),IF($B$1="Duet",IF(O947="","",O947),IF($B$1="Mixed",IF(R947="","",R947),IF(U947="","",U947))))))</f>
        <v>#N/A</v>
      </c>
      <c r="B448" s="3" t="e">
        <f>IF('Coach Card'!$T$5="",IF($B$1="Solo",IF(M447="","",M447),IF($B$1="MSolo",IF(P447="","",P447),IF($B$1="Duet",IF(S447="","",S447),IF($B$1="Mixed",IF(V447="","",V447),IF(Y447="","",Y447))))),IF($B$1="Solo",IF(M947="","",M947),IF($B$1="MSolo",IF(M947="","",M947),IF($B$1="Duet",IF(P947="","",P947),IF($B$1="Mixed",IF(S947="","",S947),IF(V947="","",V947))))))</f>
        <v>#N/A</v>
      </c>
      <c r="C448" s="3" t="e">
        <f>IF('Coach Card'!$T$5="",IF($B$1="Solo",IF(N447="","",N447),IF($B$1="MSolo",IF(Q447="","",Q447),IF($B$1="Duet",IF(T447="","",T447),IF($B$1="Mixed",IF(W447="","",W447),IF(Z447="","",Z447))))),IF($B$1="Solo",IF(N947="","",N947),IF($B$1="MSolo",IF(N947="","",N947),IF($B$1="Duet",IF(Q947="","",Q947),IF($B$1="Mixed",IF(T947="","",T947),IF(W947="","",W947))))))</f>
        <v>#N/A</v>
      </c>
      <c r="D448" s="3" t="e">
        <f>IF('Coach Card'!$T$5="",IF($D$1="Team",IF(AG447="","",AG447),""),IF($D$1="Team",IF(AD947="","",AD947),""))</f>
        <v>#N/A</v>
      </c>
      <c r="E448" s="3" t="e">
        <f>IF('Coach Card'!$T$5="",IF($D$1="Team",IF(AH447="","",AH447),""),IF($D$1="Team",IF(AE947="","",AE947),""))</f>
        <v>#N/A</v>
      </c>
      <c r="X448" s="1" t="s">
        <v>624</v>
      </c>
      <c r="Y448" t="s">
        <v>2135</v>
      </c>
      <c r="Z448" s="3">
        <v>0.105</v>
      </c>
      <c r="AK448" t="s">
        <v>2130</v>
      </c>
      <c r="AL448" t="s">
        <v>1818</v>
      </c>
      <c r="AM448">
        <v>0.5</v>
      </c>
    </row>
    <row r="449" spans="1:39" x14ac:dyDescent="0.35">
      <c r="A449" s="6" t="e">
        <f>IF('Coach Card'!$T$5="",IF($B$1="Solo",IF(L448="","",L448),IF($B$1="MSolo",IF(O448="","",O448),IF($B$1="Duet",IF(R448="","",R448),IF($B$1="Mixed",IF(U448="","",U448),IF(X448="","",X448))))),IF($B$1="Solo",IF(L948="","",L948),IF($B$1="MSolo",IF(L948="","",L948),IF($B$1="Duet",IF(O948="","",O948),IF($B$1="Mixed",IF(R948="","",R948),IF(U948="","",U948))))))</f>
        <v>#N/A</v>
      </c>
      <c r="B449" s="3" t="e">
        <f>IF('Coach Card'!$T$5="",IF($B$1="Solo",IF(M448="","",M448),IF($B$1="MSolo",IF(P448="","",P448),IF($B$1="Duet",IF(S448="","",S448),IF($B$1="Mixed",IF(V448="","",V448),IF(Y448="","",Y448))))),IF($B$1="Solo",IF(M948="","",M948),IF($B$1="MSolo",IF(M948="","",M948),IF($B$1="Duet",IF(P948="","",P948),IF($B$1="Mixed",IF(S948="","",S948),IF(V948="","",V948))))))</f>
        <v>#N/A</v>
      </c>
      <c r="C449" s="3" t="e">
        <f>IF('Coach Card'!$T$5="",IF($B$1="Solo",IF(N448="","",N448),IF($B$1="MSolo",IF(Q448="","",Q448),IF($B$1="Duet",IF(T448="","",T448),IF($B$1="Mixed",IF(W448="","",W448),IF(Z448="","",Z448))))),IF($B$1="Solo",IF(N948="","",N948),IF($B$1="MSolo",IF(N948="","",N948),IF($B$1="Duet",IF(Q948="","",Q948),IF($B$1="Mixed",IF(T948="","",T948),IF(W948="","",W948))))))</f>
        <v>#N/A</v>
      </c>
      <c r="D449" s="3" t="e">
        <f>IF('Coach Card'!$T$5="",IF($D$1="Team",IF(AG448="","",AG448),""),IF($D$1="Team",IF(AD948="","",AD948),""))</f>
        <v>#N/A</v>
      </c>
      <c r="E449" s="3" t="e">
        <f>IF('Coach Card'!$T$5="",IF($D$1="Team",IF(AH448="","",AH448),""),IF($D$1="Team",IF(AE948="","",AE948),""))</f>
        <v>#N/A</v>
      </c>
      <c r="X449" s="1" t="s">
        <v>624</v>
      </c>
      <c r="Y449" t="s">
        <v>2136</v>
      </c>
      <c r="Z449" s="3">
        <v>0.105</v>
      </c>
      <c r="AK449" t="s">
        <v>2466</v>
      </c>
      <c r="AL449" t="s">
        <v>2456</v>
      </c>
      <c r="AM449">
        <v>0.5</v>
      </c>
    </row>
    <row r="450" spans="1:39" x14ac:dyDescent="0.35">
      <c r="A450" s="6" t="e">
        <f>IF('Coach Card'!$T$5="",IF($B$1="Solo",IF(L449="","",L449),IF($B$1="MSolo",IF(O449="","",O449),IF($B$1="Duet",IF(R449="","",R449),IF($B$1="Mixed",IF(U449="","",U449),IF(X449="","",X449))))),IF($B$1="Solo",IF(L949="","",L949),IF($B$1="MSolo",IF(L949="","",L949),IF($B$1="Duet",IF(O949="","",O949),IF($B$1="Mixed",IF(R949="","",R949),IF(U949="","",U949))))))</f>
        <v>#N/A</v>
      </c>
      <c r="B450" s="3" t="e">
        <f>IF('Coach Card'!$T$5="",IF($B$1="Solo",IF(M449="","",M449),IF($B$1="MSolo",IF(P449="","",P449),IF($B$1="Duet",IF(S449="","",S449),IF($B$1="Mixed",IF(V449="","",V449),IF(Y449="","",Y449))))),IF($B$1="Solo",IF(M949="","",M949),IF($B$1="MSolo",IF(M949="","",M949),IF($B$1="Duet",IF(P949="","",P949),IF($B$1="Mixed",IF(S949="","",S949),IF(V949="","",V949))))))</f>
        <v>#N/A</v>
      </c>
      <c r="C450" s="3" t="e">
        <f>IF('Coach Card'!$T$5="",IF($B$1="Solo",IF(N449="","",N449),IF($B$1="MSolo",IF(Q449="","",Q449),IF($B$1="Duet",IF(T449="","",T449),IF($B$1="Mixed",IF(W449="","",W449),IF(Z449="","",Z449))))),IF($B$1="Solo",IF(N949="","",N949),IF($B$1="MSolo",IF(N949="","",N949),IF($B$1="Duet",IF(Q949="","",Q949),IF($B$1="Mixed",IF(T949="","",T949),IF(W949="","",W949))))))</f>
        <v>#N/A</v>
      </c>
      <c r="D450" s="3" t="e">
        <f>IF('Coach Card'!$T$5="",IF($D$1="Team",IF(AG449="","",AG449),""),IF($D$1="Team",IF(AD949="","",AD949),""))</f>
        <v>#N/A</v>
      </c>
      <c r="E450" s="3" t="e">
        <f>IF('Coach Card'!$T$5="",IF($D$1="Team",IF(AH449="","",AH449),""),IF($D$1="Team",IF(AE949="","",AE949),""))</f>
        <v>#N/A</v>
      </c>
      <c r="X450" s="1" t="s">
        <v>624</v>
      </c>
      <c r="Y450" t="s">
        <v>2137</v>
      </c>
      <c r="Z450" s="3">
        <v>0.12</v>
      </c>
      <c r="AK450" t="s">
        <v>2131</v>
      </c>
      <c r="AL450" t="s">
        <v>1819</v>
      </c>
      <c r="AM450">
        <v>0.5</v>
      </c>
    </row>
    <row r="451" spans="1:39" x14ac:dyDescent="0.35">
      <c r="A451" s="6" t="e">
        <f>IF('Coach Card'!$T$5="",IF($B$1="Solo",IF(L450="","",L450),IF($B$1="MSolo",IF(O450="","",O450),IF($B$1="Duet",IF(R450="","",R450),IF($B$1="Mixed",IF(U450="","",U450),IF(X450="","",X450))))),IF($B$1="Solo",IF(L950="","",L950),IF($B$1="MSolo",IF(L950="","",L950),IF($B$1="Duet",IF(O950="","",O950),IF($B$1="Mixed",IF(R950="","",R950),IF(U950="","",U950))))))</f>
        <v>#N/A</v>
      </c>
      <c r="B451" s="3" t="e">
        <f>IF('Coach Card'!$T$5="",IF($B$1="Solo",IF(M450="","",M450),IF($B$1="MSolo",IF(P450="","",P450),IF($B$1="Duet",IF(S450="","",S450),IF($B$1="Mixed",IF(V450="","",V450),IF(Y450="","",Y450))))),IF($B$1="Solo",IF(M950="","",M950),IF($B$1="MSolo",IF(M950="","",M950),IF($B$1="Duet",IF(P950="","",P950),IF($B$1="Mixed",IF(S950="","",S950),IF(V950="","",V950))))))</f>
        <v>#N/A</v>
      </c>
      <c r="C451" s="3" t="e">
        <f>IF('Coach Card'!$T$5="",IF($B$1="Solo",IF(N450="","",N450),IF($B$1="MSolo",IF(Q450="","",Q450),IF($B$1="Duet",IF(T450="","",T450),IF($B$1="Mixed",IF(W450="","",W450),IF(Z450="","",Z450))))),IF($B$1="Solo",IF(N950="","",N950),IF($B$1="MSolo",IF(N950="","",N950),IF($B$1="Duet",IF(Q950="","",Q950),IF($B$1="Mixed",IF(T950="","",T950),IF(W950="","",W950))))))</f>
        <v>#N/A</v>
      </c>
      <c r="D451" s="3" t="e">
        <f>IF('Coach Card'!$T$5="",IF($D$1="Team",IF(AG450="","",AG450),""),IF($D$1="Team",IF(AD950="","",AD950),""))</f>
        <v>#N/A</v>
      </c>
      <c r="E451" s="3" t="e">
        <f>IF('Coach Card'!$T$5="",IF($D$1="Team",IF(AH450="","",AH450),""),IF($D$1="Team",IF(AE950="","",AE950),""))</f>
        <v>#N/A</v>
      </c>
      <c r="X451" s="1" t="s">
        <v>624</v>
      </c>
      <c r="Y451" t="s">
        <v>2138</v>
      </c>
      <c r="Z451" s="3">
        <v>0.12</v>
      </c>
      <c r="AK451" t="s">
        <v>2132</v>
      </c>
      <c r="AL451" t="s">
        <v>1820</v>
      </c>
      <c r="AM451">
        <v>0.5</v>
      </c>
    </row>
    <row r="452" spans="1:39" x14ac:dyDescent="0.35">
      <c r="A452" s="6" t="e">
        <f>IF('Coach Card'!$T$5="",IF($B$1="Solo",IF(L451="","",L451),IF($B$1="MSolo",IF(O451="","",O451),IF($B$1="Duet",IF(R451="","",R451),IF($B$1="Mixed",IF(U451="","",U451),IF(X451="","",X451))))),IF($B$1="Solo",IF(L951="","",L951),IF($B$1="MSolo",IF(L951="","",L951),IF($B$1="Duet",IF(O951="","",O951),IF($B$1="Mixed",IF(R951="","",R951),IF(U951="","",U951))))))</f>
        <v>#N/A</v>
      </c>
      <c r="B452" s="3" t="e">
        <f>IF('Coach Card'!$T$5="",IF($B$1="Solo",IF(M451="","",M451),IF($B$1="MSolo",IF(P451="","",P451),IF($B$1="Duet",IF(S451="","",S451),IF($B$1="Mixed",IF(V451="","",V451),IF(Y451="","",Y451))))),IF($B$1="Solo",IF(M951="","",M951),IF($B$1="MSolo",IF(M951="","",M951),IF($B$1="Duet",IF(P951="","",P951),IF($B$1="Mixed",IF(S951="","",S951),IF(V951="","",V951))))))</f>
        <v>#N/A</v>
      </c>
      <c r="C452" s="3" t="e">
        <f>IF('Coach Card'!$T$5="",IF($B$1="Solo",IF(N451="","",N451),IF($B$1="MSolo",IF(Q451="","",Q451),IF($B$1="Duet",IF(T451="","",T451),IF($B$1="Mixed",IF(W451="","",W451),IF(Z451="","",Z451))))),IF($B$1="Solo",IF(N951="","",N951),IF($B$1="MSolo",IF(N951="","",N951),IF($B$1="Duet",IF(Q951="","",Q951),IF($B$1="Mixed",IF(T951="","",T951),IF(W951="","",W951))))))</f>
        <v>#N/A</v>
      </c>
      <c r="D452" s="3" t="e">
        <f>IF('Coach Card'!$T$5="",IF($D$1="Team",IF(AG451="","",AG451),""),IF($D$1="Team",IF(AD951="","",AD951),""))</f>
        <v>#N/A</v>
      </c>
      <c r="E452" s="3" t="e">
        <f>IF('Coach Card'!$T$5="",IF($D$1="Team",IF(AH451="","",AH451),""),IF($D$1="Team",IF(AE951="","",AE951),""))</f>
        <v>#N/A</v>
      </c>
      <c r="X452" s="1" t="s">
        <v>624</v>
      </c>
      <c r="Y452" t="s">
        <v>2139</v>
      </c>
      <c r="Z452" s="3">
        <v>0.12</v>
      </c>
      <c r="AK452" t="s">
        <v>2133</v>
      </c>
      <c r="AL452" t="s">
        <v>1821</v>
      </c>
      <c r="AM452">
        <v>0.5</v>
      </c>
    </row>
    <row r="453" spans="1:39" x14ac:dyDescent="0.35">
      <c r="A453" s="6" t="e">
        <f>IF('Coach Card'!$T$5="",IF($B$1="Solo",IF(L452="","",L452),IF($B$1="MSolo",IF(O452="","",O452),IF($B$1="Duet",IF(R452="","",R452),IF($B$1="Mixed",IF(U452="","",U452),IF(X452="","",X452))))),IF($B$1="Solo",IF(L952="","",L952),IF($B$1="MSolo",IF(L952="","",L952),IF($B$1="Duet",IF(O952="","",O952),IF($B$1="Mixed",IF(R952="","",R952),IF(U952="","",U952))))))</f>
        <v>#N/A</v>
      </c>
      <c r="B453" s="3" t="e">
        <f>IF('Coach Card'!$T$5="",IF($B$1="Solo",IF(M452="","",M452),IF($B$1="MSolo",IF(P452="","",P452),IF($B$1="Duet",IF(S452="","",S452),IF($B$1="Mixed",IF(V452="","",V452),IF(Y452="","",Y452))))),IF($B$1="Solo",IF(M952="","",M952),IF($B$1="MSolo",IF(M952="","",M952),IF($B$1="Duet",IF(P952="","",P952),IF($B$1="Mixed",IF(S952="","",S952),IF(V952="","",V952))))))</f>
        <v>#N/A</v>
      </c>
      <c r="C453" s="3" t="e">
        <f>IF('Coach Card'!$T$5="",IF($B$1="Solo",IF(N452="","",N452),IF($B$1="MSolo",IF(Q452="","",Q452),IF($B$1="Duet",IF(T452="","",T452),IF($B$1="Mixed",IF(W452="","",W452),IF(Z452="","",Z452))))),IF($B$1="Solo",IF(N952="","",N952),IF($B$1="MSolo",IF(N952="","",N952),IF($B$1="Duet",IF(Q952="","",Q952),IF($B$1="Mixed",IF(T952="","",T952),IF(W952="","",W952))))))</f>
        <v>#N/A</v>
      </c>
      <c r="D453" s="3" t="e">
        <f>IF('Coach Card'!$T$5="",IF($D$1="Team",IF(AG452="","",AG452),""),IF($D$1="Team",IF(AD952="","",AD952),""))</f>
        <v>#N/A</v>
      </c>
      <c r="E453" s="3" t="e">
        <f>IF('Coach Card'!$T$5="",IF($D$1="Team",IF(AH452="","",AH452),""),IF($D$1="Team",IF(AE952="","",AE952),""))</f>
        <v>#N/A</v>
      </c>
      <c r="X453" s="1" t="s">
        <v>624</v>
      </c>
      <c r="Y453" t="s">
        <v>2140</v>
      </c>
      <c r="Z453" s="3">
        <v>0.13500000000000001</v>
      </c>
      <c r="AK453" t="s">
        <v>2134</v>
      </c>
      <c r="AL453" t="s">
        <v>1822</v>
      </c>
      <c r="AM453">
        <v>0.5</v>
      </c>
    </row>
    <row r="454" spans="1:39" x14ac:dyDescent="0.35">
      <c r="A454" s="6" t="e">
        <f>IF('Coach Card'!$T$5="",IF($B$1="Solo",IF(L453="","",L453),IF($B$1="MSolo",IF(O453="","",O453),IF($B$1="Duet",IF(R453="","",R453),IF($B$1="Mixed",IF(U453="","",U453),IF(X453="","",X453))))),IF($B$1="Solo",IF(L953="","",L953),IF($B$1="MSolo",IF(L953="","",L953),IF($B$1="Duet",IF(O953="","",O953),IF($B$1="Mixed",IF(R953="","",R953),IF(U953="","",U953))))))</f>
        <v>#N/A</v>
      </c>
      <c r="B454" s="3" t="e">
        <f>IF('Coach Card'!$T$5="",IF($B$1="Solo",IF(M453="","",M453),IF($B$1="MSolo",IF(P453="","",P453),IF($B$1="Duet",IF(S453="","",S453),IF($B$1="Mixed",IF(V453="","",V453),IF(Y453="","",Y453))))),IF($B$1="Solo",IF(M953="","",M953),IF($B$1="MSolo",IF(M953="","",M953),IF($B$1="Duet",IF(P953="","",P953),IF($B$1="Mixed",IF(S953="","",S953),IF(V953="","",V953))))))</f>
        <v>#N/A</v>
      </c>
      <c r="C454" s="3" t="e">
        <f>IF('Coach Card'!$T$5="",IF($B$1="Solo",IF(N453="","",N453),IF($B$1="MSolo",IF(Q453="","",Q453),IF($B$1="Duet",IF(T453="","",T453),IF($B$1="Mixed",IF(W453="","",W453),IF(Z453="","",Z453))))),IF($B$1="Solo",IF(N953="","",N953),IF($B$1="MSolo",IF(N953="","",N953),IF($B$1="Duet",IF(Q953="","",Q953),IF($B$1="Mixed",IF(T953="","",T953),IF(W953="","",W953))))))</f>
        <v>#N/A</v>
      </c>
      <c r="D454" s="3" t="e">
        <f>IF('Coach Card'!$T$5="",IF($D$1="Team",IF(AG453="","",AG453),""),IF($D$1="Team",IF(AD953="","",AD953),""))</f>
        <v>#N/A</v>
      </c>
      <c r="E454" s="3" t="e">
        <f>IF('Coach Card'!$T$5="",IF($D$1="Team",IF(AH453="","",AH453),""),IF($D$1="Team",IF(AE953="","",AE953),""))</f>
        <v>#N/A</v>
      </c>
      <c r="X454" s="1" t="s">
        <v>624</v>
      </c>
      <c r="Y454" t="s">
        <v>2141</v>
      </c>
      <c r="Z454" s="3">
        <v>0.13500000000000001</v>
      </c>
      <c r="AK454" t="s">
        <v>2135</v>
      </c>
      <c r="AL454" t="s">
        <v>1823</v>
      </c>
      <c r="AM454">
        <v>0.5</v>
      </c>
    </row>
    <row r="455" spans="1:39" x14ac:dyDescent="0.35">
      <c r="A455" s="6" t="e">
        <f>IF('Coach Card'!$T$5="",IF($B$1="Solo",IF(L454="","",L454),IF($B$1="MSolo",IF(O454="","",O454),IF($B$1="Duet",IF(R454="","",R454),IF($B$1="Mixed",IF(U454="","",U454),IF(X454="","",X454))))),IF($B$1="Solo",IF(L954="","",L954),IF($B$1="MSolo",IF(L954="","",L954),IF($B$1="Duet",IF(O954="","",O954),IF($B$1="Mixed",IF(R954="","",R954),IF(U954="","",U954))))))</f>
        <v>#N/A</v>
      </c>
      <c r="B455" s="3" t="e">
        <f>IF('Coach Card'!$T$5="",IF($B$1="Solo",IF(M454="","",M454),IF($B$1="MSolo",IF(P454="","",P454),IF($B$1="Duet",IF(S454="","",S454),IF($B$1="Mixed",IF(V454="","",V454),IF(Y454="","",Y454))))),IF($B$1="Solo",IF(M954="","",M954),IF($B$1="MSolo",IF(M954="","",M954),IF($B$1="Duet",IF(P954="","",P954),IF($B$1="Mixed",IF(S954="","",S954),IF(V954="","",V954))))))</f>
        <v>#N/A</v>
      </c>
      <c r="C455" s="3" t="e">
        <f>IF('Coach Card'!$T$5="",IF($B$1="Solo",IF(N454="","",N454),IF($B$1="MSolo",IF(Q454="","",Q454),IF($B$1="Duet",IF(T454="","",T454),IF($B$1="Mixed",IF(W454="","",W454),IF(Z454="","",Z454))))),IF($B$1="Solo",IF(N954="","",N954),IF($B$1="MSolo",IF(N954="","",N954),IF($B$1="Duet",IF(Q954="","",Q954),IF($B$1="Mixed",IF(T954="","",T954),IF(W954="","",W954))))))</f>
        <v>#N/A</v>
      </c>
      <c r="D455" s="3" t="e">
        <f>IF('Coach Card'!$T$5="",IF($D$1="Team",IF(AG454="","",AG454),""),IF($D$1="Team",IF(AD954="","",AD954),""))</f>
        <v>#N/A</v>
      </c>
      <c r="E455" s="3" t="e">
        <f>IF('Coach Card'!$T$5="",IF($D$1="Team",IF(AH454="","",AH454),""),IF($D$1="Team",IF(AE954="","",AE954),""))</f>
        <v>#N/A</v>
      </c>
      <c r="X455" s="1" t="s">
        <v>624</v>
      </c>
      <c r="Y455" t="s">
        <v>2142</v>
      </c>
      <c r="Z455" s="3">
        <v>0.13500000000000001</v>
      </c>
      <c r="AK455" t="s">
        <v>2136</v>
      </c>
      <c r="AL455" t="s">
        <v>1824</v>
      </c>
      <c r="AM455">
        <v>0.5</v>
      </c>
    </row>
    <row r="456" spans="1:39" x14ac:dyDescent="0.35">
      <c r="A456" s="6" t="e">
        <f>IF('Coach Card'!$T$5="",IF($B$1="Solo",IF(L455="","",L455),IF($B$1="MSolo",IF(O455="","",O455),IF($B$1="Duet",IF(R455="","",R455),IF($B$1="Mixed",IF(U455="","",U455),IF(X455="","",X455))))),IF($B$1="Solo",IF(L955="","",L955),IF($B$1="MSolo",IF(L955="","",L955),IF($B$1="Duet",IF(O955="","",O955),IF($B$1="Mixed",IF(R955="","",R955),IF(U955="","",U955))))))</f>
        <v>#N/A</v>
      </c>
      <c r="B456" s="3" t="e">
        <f>IF('Coach Card'!$T$5="",IF($B$1="Solo",IF(M455="","",M455),IF($B$1="MSolo",IF(P455="","",P455),IF($B$1="Duet",IF(S455="","",S455),IF($B$1="Mixed",IF(V455="","",V455),IF(Y455="","",Y455))))),IF($B$1="Solo",IF(M955="","",M955),IF($B$1="MSolo",IF(M955="","",M955),IF($B$1="Duet",IF(P955="","",P955),IF($B$1="Mixed",IF(S955="","",S955),IF(V955="","",V955))))))</f>
        <v>#N/A</v>
      </c>
      <c r="C456" s="3" t="e">
        <f>IF('Coach Card'!$T$5="",IF($B$1="Solo",IF(N455="","",N455),IF($B$1="MSolo",IF(Q455="","",Q455),IF($B$1="Duet",IF(T455="","",T455),IF($B$1="Mixed",IF(W455="","",W455),IF(Z455="","",Z455))))),IF($B$1="Solo",IF(N955="","",N955),IF($B$1="MSolo",IF(N955="","",N955),IF($B$1="Duet",IF(Q955="","",Q955),IF($B$1="Mixed",IF(T955="","",T955),IF(W955="","",W955))))))</f>
        <v>#N/A</v>
      </c>
      <c r="D456" s="3" t="e">
        <f>IF('Coach Card'!$T$5="",IF($D$1="Team",IF(AG455="","",AG455),""),IF($D$1="Team",IF(AD955="","",AD955),""))</f>
        <v>#N/A</v>
      </c>
      <c r="E456" s="3" t="e">
        <f>IF('Coach Card'!$T$5="",IF($D$1="Team",IF(AH455="","",AH455),""),IF($D$1="Team",IF(AE955="","",AE955),""))</f>
        <v>#N/A</v>
      </c>
      <c r="X456" s="1" t="s">
        <v>624</v>
      </c>
      <c r="Y456" t="s">
        <v>2143</v>
      </c>
      <c r="Z456" s="3">
        <v>0.13500000000000001</v>
      </c>
      <c r="AK456" t="s">
        <v>2137</v>
      </c>
      <c r="AL456" t="s">
        <v>1825</v>
      </c>
      <c r="AM456">
        <v>0.5</v>
      </c>
    </row>
    <row r="457" spans="1:39" x14ac:dyDescent="0.35">
      <c r="A457" s="6" t="e">
        <f>IF('Coach Card'!$T$5="",IF($B$1="Solo",IF(L456="","",L456),IF($B$1="MSolo",IF(O456="","",O456),IF($B$1="Duet",IF(R456="","",R456),IF($B$1="Mixed",IF(U456="","",U456),IF(X456="","",X456))))),IF($B$1="Solo",IF(L956="","",L956),IF($B$1="MSolo",IF(L956="","",L956),IF($B$1="Duet",IF(O956="","",O956),IF($B$1="Mixed",IF(R956="","",R956),IF(U956="","",U956))))))</f>
        <v>#N/A</v>
      </c>
      <c r="B457" s="3" t="e">
        <f>IF('Coach Card'!$T$5="",IF($B$1="Solo",IF(M456="","",M456),IF($B$1="MSolo",IF(P456="","",P456),IF($B$1="Duet",IF(S456="","",S456),IF($B$1="Mixed",IF(V456="","",V456),IF(Y456="","",Y456))))),IF($B$1="Solo",IF(M956="","",M956),IF($B$1="MSolo",IF(M956="","",M956),IF($B$1="Duet",IF(P956="","",P956),IF($B$1="Mixed",IF(S956="","",S956),IF(V956="","",V956))))))</f>
        <v>#N/A</v>
      </c>
      <c r="C457" s="3" t="e">
        <f>IF('Coach Card'!$T$5="",IF($B$1="Solo",IF(N456="","",N456),IF($B$1="MSolo",IF(Q456="","",Q456),IF($B$1="Duet",IF(T456="","",T456),IF($B$1="Mixed",IF(W456="","",W456),IF(Z456="","",Z456))))),IF($B$1="Solo",IF(N956="","",N956),IF($B$1="MSolo",IF(N956="","",N956),IF($B$1="Duet",IF(Q956="","",Q956),IF($B$1="Mixed",IF(T956="","",T956),IF(W956="","",W956))))))</f>
        <v>#N/A</v>
      </c>
      <c r="D457" s="3" t="e">
        <f>IF('Coach Card'!$T$5="",IF($D$1="Team",IF(AG456="","",AG456),""),IF($D$1="Team",IF(AD956="","",AD956),""))</f>
        <v>#N/A</v>
      </c>
      <c r="E457" s="3" t="e">
        <f>IF('Coach Card'!$T$5="",IF($D$1="Team",IF(AH456="","",AH456),""),IF($D$1="Team",IF(AE956="","",AE956),""))</f>
        <v>#N/A</v>
      </c>
      <c r="X457" s="1" t="s">
        <v>624</v>
      </c>
      <c r="Y457" t="s">
        <v>2144</v>
      </c>
      <c r="Z457" s="3">
        <v>0.15</v>
      </c>
      <c r="AK457" t="s">
        <v>2138</v>
      </c>
      <c r="AL457" t="s">
        <v>1826</v>
      </c>
      <c r="AM457">
        <v>0.5</v>
      </c>
    </row>
    <row r="458" spans="1:39" x14ac:dyDescent="0.35">
      <c r="A458" s="6" t="e">
        <f>IF('Coach Card'!$T$5="",IF($B$1="Solo",IF(L457="","",L457),IF($B$1="MSolo",IF(O457="","",O457),IF($B$1="Duet",IF(R457="","",R457),IF($B$1="Mixed",IF(U457="","",U457),IF(X457="","",X457))))),IF($B$1="Solo",IF(L957="","",L957),IF($B$1="MSolo",IF(L957="","",L957),IF($B$1="Duet",IF(O957="","",O957),IF($B$1="Mixed",IF(R957="","",R957),IF(U957="","",U957))))))</f>
        <v>#N/A</v>
      </c>
      <c r="B458" s="3" t="e">
        <f>IF('Coach Card'!$T$5="",IF($B$1="Solo",IF(M457="","",M457),IF($B$1="MSolo",IF(P457="","",P457),IF($B$1="Duet",IF(S457="","",S457),IF($B$1="Mixed",IF(V457="","",V457),IF(Y457="","",Y457))))),IF($B$1="Solo",IF(M957="","",M957),IF($B$1="MSolo",IF(M957="","",M957),IF($B$1="Duet",IF(P957="","",P957),IF($B$1="Mixed",IF(S957="","",S957),IF(V957="","",V957))))))</f>
        <v>#N/A</v>
      </c>
      <c r="C458" s="3" t="e">
        <f>IF('Coach Card'!$T$5="",IF($B$1="Solo",IF(N457="","",N457),IF($B$1="MSolo",IF(Q457="","",Q457),IF($B$1="Duet",IF(T457="","",T457),IF($B$1="Mixed",IF(W457="","",W457),IF(Z457="","",Z457))))),IF($B$1="Solo",IF(N957="","",N957),IF($B$1="MSolo",IF(N957="","",N957),IF($B$1="Duet",IF(Q957="","",Q957),IF($B$1="Mixed",IF(T957="","",T957),IF(W957="","",W957))))))</f>
        <v>#N/A</v>
      </c>
      <c r="D458" s="3" t="e">
        <f>IF('Coach Card'!$T$5="",IF($D$1="Team",IF(AG457="","",AG457),""),IF($D$1="Team",IF(AD957="","",AD957),""))</f>
        <v>#N/A</v>
      </c>
      <c r="E458" s="3" t="e">
        <f>IF('Coach Card'!$T$5="",IF($D$1="Team",IF(AH457="","",AH457),""),IF($D$1="Team",IF(AE957="","",AE957),""))</f>
        <v>#N/A</v>
      </c>
      <c r="X458" s="1" t="s">
        <v>624</v>
      </c>
      <c r="Y458" t="s">
        <v>2145</v>
      </c>
      <c r="Z458" s="3">
        <v>0.19500000000000001</v>
      </c>
      <c r="AK458" t="s">
        <v>2139</v>
      </c>
      <c r="AL458" t="s">
        <v>1827</v>
      </c>
      <c r="AM458">
        <v>0.5</v>
      </c>
    </row>
    <row r="459" spans="1:39" x14ac:dyDescent="0.35">
      <c r="A459" s="6" t="e">
        <f>IF('Coach Card'!$T$5="",IF($B$1="Solo",IF(L458="","",L458),IF($B$1="MSolo",IF(O458="","",O458),IF($B$1="Duet",IF(R458="","",R458),IF($B$1="Mixed",IF(U458="","",U458),IF(X458="","",X458))))),IF($B$1="Solo",IF(L958="","",L958),IF($B$1="MSolo",IF(L958="","",L958),IF($B$1="Duet",IF(O958="","",O958),IF($B$1="Mixed",IF(R958="","",R958),IF(U958="","",U958))))))</f>
        <v>#N/A</v>
      </c>
      <c r="B459" s="3" t="e">
        <f>IF('Coach Card'!$T$5="",IF($B$1="Solo",IF(M458="","",M458),IF($B$1="MSolo",IF(P458="","",P458),IF($B$1="Duet",IF(S458="","",S458),IF($B$1="Mixed",IF(V458="","",V458),IF(Y458="","",Y458))))),IF($B$1="Solo",IF(M958="","",M958),IF($B$1="MSolo",IF(M958="","",M958),IF($B$1="Duet",IF(P958="","",P958),IF($B$1="Mixed",IF(S958="","",S958),IF(V958="","",V958))))))</f>
        <v>#N/A</v>
      </c>
      <c r="C459" s="3" t="e">
        <f>IF('Coach Card'!$T$5="",IF($B$1="Solo",IF(N458="","",N458),IF($B$1="MSolo",IF(Q458="","",Q458),IF($B$1="Duet",IF(T458="","",T458),IF($B$1="Mixed",IF(W458="","",W458),IF(Z458="","",Z458))))),IF($B$1="Solo",IF(N958="","",N958),IF($B$1="MSolo",IF(N958="","",N958),IF($B$1="Duet",IF(Q958="","",Q958),IF($B$1="Mixed",IF(T958="","",T958),IF(W958="","",W958))))))</f>
        <v>#N/A</v>
      </c>
      <c r="D459" s="3" t="e">
        <f>IF('Coach Card'!$T$5="",IF($D$1="Team",IF(AG458="","",AG458),""),IF($D$1="Team",IF(AD958="","",AD958),""))</f>
        <v>#N/A</v>
      </c>
      <c r="E459" s="3" t="e">
        <f>IF('Coach Card'!$T$5="",IF($D$1="Team",IF(AH458="","",AH458),""),IF($D$1="Team",IF(AE958="","",AE958),""))</f>
        <v>#N/A</v>
      </c>
      <c r="X459" s="1" t="s">
        <v>624</v>
      </c>
      <c r="Y459" t="s">
        <v>2146</v>
      </c>
      <c r="Z459" s="3">
        <v>0.19500000000000001</v>
      </c>
      <c r="AK459" t="s">
        <v>2140</v>
      </c>
      <c r="AL459" t="s">
        <v>1828</v>
      </c>
      <c r="AM459">
        <v>0.5</v>
      </c>
    </row>
    <row r="460" spans="1:39" x14ac:dyDescent="0.35">
      <c r="A460" s="6" t="e">
        <f>IF('Coach Card'!$T$5="",IF($B$1="Solo",IF(L459="","",L459),IF($B$1="MSolo",IF(O459="","",O459),IF($B$1="Duet",IF(R459="","",R459),IF($B$1="Mixed",IF(U459="","",U459),IF(X459="","",X459))))),IF($B$1="Solo",IF(L959="","",L959),IF($B$1="MSolo",IF(L959="","",L959),IF($B$1="Duet",IF(O959="","",O959),IF($B$1="Mixed",IF(R959="","",R959),IF(U959="","",U959))))))</f>
        <v>#N/A</v>
      </c>
      <c r="B460" s="3" t="e">
        <f>IF('Coach Card'!$T$5="",IF($B$1="Solo",IF(M459="","",M459),IF($B$1="MSolo",IF(P459="","",P459),IF($B$1="Duet",IF(S459="","",S459),IF($B$1="Mixed",IF(V459="","",V459),IF(Y459="","",Y459))))),IF($B$1="Solo",IF(M959="","",M959),IF($B$1="MSolo",IF(M959="","",M959),IF($B$1="Duet",IF(P959="","",P959),IF($B$1="Mixed",IF(S959="","",S959),IF(V959="","",V959))))))</f>
        <v>#N/A</v>
      </c>
      <c r="C460" s="3" t="e">
        <f>IF('Coach Card'!$T$5="",IF($B$1="Solo",IF(N459="","",N459),IF($B$1="MSolo",IF(Q459="","",Q459),IF($B$1="Duet",IF(T459="","",T459),IF($B$1="Mixed",IF(W459="","",W459),IF(Z459="","",Z459))))),IF($B$1="Solo",IF(N959="","",N959),IF($B$1="MSolo",IF(N959="","",N959),IF($B$1="Duet",IF(Q959="","",Q959),IF($B$1="Mixed",IF(T959="","",T959),IF(W959="","",W959))))))</f>
        <v>#N/A</v>
      </c>
      <c r="D460" s="3" t="e">
        <f>IF('Coach Card'!$T$5="",IF($D$1="Team",IF(AG459="","",AG459),""),IF($D$1="Team",IF(AD959="","",AD959),""))</f>
        <v>#N/A</v>
      </c>
      <c r="E460" s="3" t="e">
        <f>IF('Coach Card'!$T$5="",IF($D$1="Team",IF(AH459="","",AH459),""),IF($D$1="Team",IF(AE959="","",AE959),""))</f>
        <v>#N/A</v>
      </c>
      <c r="X460" s="1" t="s">
        <v>624</v>
      </c>
      <c r="Y460" t="s">
        <v>2147</v>
      </c>
      <c r="Z460" s="3">
        <v>0.22499999999999998</v>
      </c>
      <c r="AK460" t="s">
        <v>2141</v>
      </c>
      <c r="AL460" t="s">
        <v>1829</v>
      </c>
      <c r="AM460">
        <v>0.5</v>
      </c>
    </row>
    <row r="461" spans="1:39" x14ac:dyDescent="0.35">
      <c r="A461" s="6" t="e">
        <f>IF('Coach Card'!$T$5="",IF($B$1="Solo",IF(L460="","",L460),IF($B$1="MSolo",IF(O460="","",O460),IF($B$1="Duet",IF(R460="","",R460),IF($B$1="Mixed",IF(U460="","",U460),IF(X460="","",X460))))),IF($B$1="Solo",IF(L960="","",L960),IF($B$1="MSolo",IF(L960="","",L960),IF($B$1="Duet",IF(O960="","",O960),IF($B$1="Mixed",IF(R960="","",R960),IF(U960="","",U960))))))</f>
        <v>#N/A</v>
      </c>
      <c r="B461" s="3" t="e">
        <f>IF('Coach Card'!$T$5="",IF($B$1="Solo",IF(M460="","",M460),IF($B$1="MSolo",IF(P460="","",P460),IF($B$1="Duet",IF(S460="","",S460),IF($B$1="Mixed",IF(V460="","",V460),IF(Y460="","",Y460))))),IF($B$1="Solo",IF(M960="","",M960),IF($B$1="MSolo",IF(M960="","",M960),IF($B$1="Duet",IF(P960="","",P960),IF($B$1="Mixed",IF(S960="","",S960),IF(V960="","",V960))))))</f>
        <v>#N/A</v>
      </c>
      <c r="C461" s="3" t="e">
        <f>IF('Coach Card'!$T$5="",IF($B$1="Solo",IF(N460="","",N460),IF($B$1="MSolo",IF(Q460="","",Q460),IF($B$1="Duet",IF(T460="","",T460),IF($B$1="Mixed",IF(W460="","",W460),IF(Z460="","",Z460))))),IF($B$1="Solo",IF(N960="","",N960),IF($B$1="MSolo",IF(N960="","",N960),IF($B$1="Duet",IF(Q960="","",Q960),IF($B$1="Mixed",IF(T960="","",T960),IF(W960="","",W960))))))</f>
        <v>#N/A</v>
      </c>
      <c r="D461" s="3" t="e">
        <f>IF('Coach Card'!$T$5="",IF($D$1="Team",IF(AG460="","",AG460),""),IF($D$1="Team",IF(AD960="","",AD960),""))</f>
        <v>#N/A</v>
      </c>
      <c r="E461" s="3" t="e">
        <f>IF('Coach Card'!$T$5="",IF($D$1="Team",IF(AH460="","",AH460),""),IF($D$1="Team",IF(AE960="","",AE960),""))</f>
        <v>#N/A</v>
      </c>
      <c r="X461" s="1" t="s">
        <v>624</v>
      </c>
      <c r="Y461" t="s">
        <v>2148</v>
      </c>
      <c r="Z461" s="3">
        <v>0.3</v>
      </c>
      <c r="AK461" t="s">
        <v>2142</v>
      </c>
      <c r="AL461" t="s">
        <v>1830</v>
      </c>
      <c r="AM461">
        <v>0.5</v>
      </c>
    </row>
    <row r="462" spans="1:39" x14ac:dyDescent="0.35">
      <c r="A462" s="6" t="e">
        <f>IF('Coach Card'!$T$5="",IF($B$1="Solo",IF(L461="","",L461),IF($B$1="MSolo",IF(O461="","",O461),IF($B$1="Duet",IF(R461="","",R461),IF($B$1="Mixed",IF(U461="","",U461),IF(X461="","",X461))))),IF($B$1="Solo",IF(L961="","",L961),IF($B$1="MSolo",IF(L961="","",L961),IF($B$1="Duet",IF(O961="","",O961),IF($B$1="Mixed",IF(R961="","",R961),IF(U961="","",U961))))))</f>
        <v>#N/A</v>
      </c>
      <c r="B462" s="3" t="e">
        <f>IF('Coach Card'!$T$5="",IF($B$1="Solo",IF(M461="","",M461),IF($B$1="MSolo",IF(P461="","",P461),IF($B$1="Duet",IF(S461="","",S461),IF($B$1="Mixed",IF(V461="","",V461),IF(Y461="","",Y461))))),IF($B$1="Solo",IF(M961="","",M961),IF($B$1="MSolo",IF(M961="","",M961),IF($B$1="Duet",IF(P961="","",P961),IF($B$1="Mixed",IF(S961="","",S961),IF(V961="","",V961))))))</f>
        <v>#N/A</v>
      </c>
      <c r="C462" s="3" t="e">
        <f>IF('Coach Card'!$T$5="",IF($B$1="Solo",IF(N461="","",N461),IF($B$1="MSolo",IF(Q461="","",Q461),IF($B$1="Duet",IF(T461="","",T461),IF($B$1="Mixed",IF(W461="","",W461),IF(Z461="","",Z461))))),IF($B$1="Solo",IF(N961="","",N961),IF($B$1="MSolo",IF(N961="","",N961),IF($B$1="Duet",IF(Q961="","",Q961),IF($B$1="Mixed",IF(T961="","",T961),IF(W961="","",W961))))))</f>
        <v>#N/A</v>
      </c>
      <c r="D462" s="3" t="e">
        <f>IF('Coach Card'!$T$5="",IF($D$1="Team",IF(AG461="","",AG461),""),IF($D$1="Team",IF(AD961="","",AD961),""))</f>
        <v>#N/A</v>
      </c>
      <c r="E462" s="3" t="e">
        <f>IF('Coach Card'!$T$5="",IF($D$1="Team",IF(AH461="","",AH461),""),IF($D$1="Team",IF(AE961="","",AE961),""))</f>
        <v>#N/A</v>
      </c>
      <c r="X462" s="1" t="s">
        <v>625</v>
      </c>
      <c r="Y462" t="s">
        <v>2283</v>
      </c>
      <c r="Z462" s="3">
        <v>0.03</v>
      </c>
      <c r="AK462" t="s">
        <v>2143</v>
      </c>
      <c r="AL462" t="s">
        <v>1831</v>
      </c>
      <c r="AM462">
        <v>0.5</v>
      </c>
    </row>
    <row r="463" spans="1:39" x14ac:dyDescent="0.35">
      <c r="A463" s="6" t="e">
        <f>IF('Coach Card'!$T$5="",IF($B$1="Solo",IF(L462="","",L462),IF($B$1="MSolo",IF(O462="","",O462),IF($B$1="Duet",IF(R462="","",R462),IF($B$1="Mixed",IF(U462="","",U462),IF(X462="","",X462))))),IF($B$1="Solo",IF(L962="","",L962),IF($B$1="MSolo",IF(L962="","",L962),IF($B$1="Duet",IF(O962="","",O962),IF($B$1="Mixed",IF(R962="","",R962),IF(U962="","",U962))))))</f>
        <v>#N/A</v>
      </c>
      <c r="B463" s="3" t="e">
        <f>IF('Coach Card'!$T$5="",IF($B$1="Solo",IF(M462="","",M462),IF($B$1="MSolo",IF(P462="","",P462),IF($B$1="Duet",IF(S462="","",S462),IF($B$1="Mixed",IF(V462="","",V462),IF(Y462="","",Y462))))),IF($B$1="Solo",IF(M962="","",M962),IF($B$1="MSolo",IF(M962="","",M962),IF($B$1="Duet",IF(P962="","",P962),IF($B$1="Mixed",IF(S962="","",S962),IF(V962="","",V962))))))</f>
        <v>#N/A</v>
      </c>
      <c r="C463" s="3" t="e">
        <f>IF('Coach Card'!$T$5="",IF($B$1="Solo",IF(N462="","",N462),IF($B$1="MSolo",IF(Q462="","",Q462),IF($B$1="Duet",IF(T462="","",T462),IF($B$1="Mixed",IF(W462="","",W462),IF(Z462="","",Z462))))),IF($B$1="Solo",IF(N962="","",N962),IF($B$1="MSolo",IF(N962="","",N962),IF($B$1="Duet",IF(Q962="","",Q962),IF($B$1="Mixed",IF(T962="","",T962),IF(W962="","",W962))))))</f>
        <v>#N/A</v>
      </c>
      <c r="D463" s="3" t="e">
        <f>IF('Coach Card'!$T$5="",IF($D$1="Team",IF(AG462="","",AG462),""),IF($D$1="Team",IF(AD962="","",AD962),""))</f>
        <v>#N/A</v>
      </c>
      <c r="E463" s="3" t="e">
        <f>IF('Coach Card'!$T$5="",IF($D$1="Team",IF(AH462="","",AH462),""),IF($D$1="Team",IF(AE962="","",AE962),""))</f>
        <v>#N/A</v>
      </c>
      <c r="X463" s="1" t="s">
        <v>625</v>
      </c>
      <c r="Y463" t="s">
        <v>2284</v>
      </c>
      <c r="Z463" s="3">
        <v>0.06</v>
      </c>
      <c r="AK463" t="s">
        <v>2144</v>
      </c>
      <c r="AL463" t="s">
        <v>1699</v>
      </c>
      <c r="AM463">
        <v>0.5</v>
      </c>
    </row>
    <row r="464" spans="1:39" x14ac:dyDescent="0.35">
      <c r="A464" s="6" t="e">
        <f>IF('Coach Card'!$T$5="",IF($B$1="Solo",IF(L463="","",L463),IF($B$1="MSolo",IF(O463="","",O463),IF($B$1="Duet",IF(R463="","",R463),IF($B$1="Mixed",IF(U463="","",U463),IF(X463="","",X463))))),IF($B$1="Solo",IF(L963="","",L963),IF($B$1="MSolo",IF(L963="","",L963),IF($B$1="Duet",IF(O963="","",O963),IF($B$1="Mixed",IF(R963="","",R963),IF(U963="","",U963))))))</f>
        <v>#N/A</v>
      </c>
      <c r="B464" s="3" t="e">
        <f>IF('Coach Card'!$T$5="",IF($B$1="Solo",IF(M463="","",M463),IF($B$1="MSolo",IF(P463="","",P463),IF($B$1="Duet",IF(S463="","",S463),IF($B$1="Mixed",IF(V463="","",V463),IF(Y463="","",Y463))))),IF($B$1="Solo",IF(M963="","",M963),IF($B$1="MSolo",IF(M963="","",M963),IF($B$1="Duet",IF(P963="","",P963),IF($B$1="Mixed",IF(S963="","",S963),IF(V963="","",V963))))))</f>
        <v>#N/A</v>
      </c>
      <c r="C464" s="3" t="e">
        <f>IF('Coach Card'!$T$5="",IF($B$1="Solo",IF(N463="","",N463),IF($B$1="MSolo",IF(Q463="","",Q463),IF($B$1="Duet",IF(T463="","",T463),IF($B$1="Mixed",IF(W463="","",W463),IF(Z463="","",Z463))))),IF($B$1="Solo",IF(N963="","",N963),IF($B$1="MSolo",IF(N963="","",N963),IF($B$1="Duet",IF(Q963="","",Q963),IF($B$1="Mixed",IF(T963="","",T963),IF(W963="","",W963))))))</f>
        <v>#N/A</v>
      </c>
      <c r="D464" s="3" t="e">
        <f>IF('Coach Card'!$T$5="",IF($D$1="Team",IF(AG463="","",AG463),""),IF($D$1="Team",IF(AD963="","",AD963),""))</f>
        <v>#N/A</v>
      </c>
      <c r="E464" s="3" t="e">
        <f>IF('Coach Card'!$T$5="",IF($D$1="Team",IF(AH463="","",AH463),""),IF($D$1="Team",IF(AE963="","",AE963),""))</f>
        <v>#N/A</v>
      </c>
      <c r="X464" s="1" t="s">
        <v>625</v>
      </c>
      <c r="Y464" t="s">
        <v>2285</v>
      </c>
      <c r="Z464" s="3">
        <v>0.06</v>
      </c>
      <c r="AK464" t="s">
        <v>2145</v>
      </c>
      <c r="AL464" t="s">
        <v>1832</v>
      </c>
      <c r="AM464">
        <v>0.5</v>
      </c>
    </row>
    <row r="465" spans="1:39" x14ac:dyDescent="0.35">
      <c r="A465" s="6" t="e">
        <f>IF('Coach Card'!$T$5="",IF($B$1="Solo",IF(L464="","",L464),IF($B$1="MSolo",IF(O464="","",O464),IF($B$1="Duet",IF(R464="","",R464),IF($B$1="Mixed",IF(U464="","",U464),IF(X464="","",X464))))),IF($B$1="Solo",IF(L964="","",L964),IF($B$1="MSolo",IF(L964="","",L964),IF($B$1="Duet",IF(O964="","",O964),IF($B$1="Mixed",IF(R964="","",R964),IF(U964="","",U964))))))</f>
        <v>#N/A</v>
      </c>
      <c r="B465" s="3" t="e">
        <f>IF('Coach Card'!$T$5="",IF($B$1="Solo",IF(M464="","",M464),IF($B$1="MSolo",IF(P464="","",P464),IF($B$1="Duet",IF(S464="","",S464),IF($B$1="Mixed",IF(V464="","",V464),IF(Y464="","",Y464))))),IF($B$1="Solo",IF(M964="","",M964),IF($B$1="MSolo",IF(M964="","",M964),IF($B$1="Duet",IF(P964="","",P964),IF($B$1="Mixed",IF(S964="","",S964),IF(V964="","",V964))))))</f>
        <v>#N/A</v>
      </c>
      <c r="C465" s="3" t="e">
        <f>IF('Coach Card'!$T$5="",IF($B$1="Solo",IF(N464="","",N464),IF($B$1="MSolo",IF(Q464="","",Q464),IF($B$1="Duet",IF(T464="","",T464),IF($B$1="Mixed",IF(W464="","",W464),IF(Z464="","",Z464))))),IF($B$1="Solo",IF(N964="","",N964),IF($B$1="MSolo",IF(N964="","",N964),IF($B$1="Duet",IF(Q964="","",Q964),IF($B$1="Mixed",IF(T964="","",T964),IF(W964="","",W964))))))</f>
        <v>#N/A</v>
      </c>
      <c r="D465" s="3" t="e">
        <f>IF('Coach Card'!$T$5="",IF($D$1="Team",IF(AG464="","",AG464),""),IF($D$1="Team",IF(AD964="","",AD964),""))</f>
        <v>#N/A</v>
      </c>
      <c r="E465" s="3" t="e">
        <f>IF('Coach Card'!$T$5="",IF($D$1="Team",IF(AH464="","",AH464),""),IF($D$1="Team",IF(AE964="","",AE964),""))</f>
        <v>#N/A</v>
      </c>
      <c r="X465" s="1" t="s">
        <v>625</v>
      </c>
      <c r="Y465" t="s">
        <v>2286</v>
      </c>
      <c r="Z465" s="3">
        <v>0.09</v>
      </c>
      <c r="AK465" t="s">
        <v>2146</v>
      </c>
      <c r="AL465" t="s">
        <v>1833</v>
      </c>
      <c r="AM465">
        <v>0.5</v>
      </c>
    </row>
    <row r="466" spans="1:39" x14ac:dyDescent="0.35">
      <c r="A466" s="6" t="e">
        <f>IF('Coach Card'!$T$5="",IF($B$1="Solo",IF(L465="","",L465),IF($B$1="MSolo",IF(O465="","",O465),IF($B$1="Duet",IF(R465="","",R465),IF($B$1="Mixed",IF(U465="","",U465),IF(X465="","",X465))))),IF($B$1="Solo",IF(L965="","",L965),IF($B$1="MSolo",IF(L965="","",L965),IF($B$1="Duet",IF(O965="","",O965),IF($B$1="Mixed",IF(R965="","",R965),IF(U965="","",U965))))))</f>
        <v>#N/A</v>
      </c>
      <c r="B466" s="3" t="e">
        <f>IF('Coach Card'!$T$5="",IF($B$1="Solo",IF(M465="","",M465),IF($B$1="MSolo",IF(P465="","",P465),IF($B$1="Duet",IF(S465="","",S465),IF($B$1="Mixed",IF(V465="","",V465),IF(Y465="","",Y465))))),IF($B$1="Solo",IF(M965="","",M965),IF($B$1="MSolo",IF(M965="","",M965),IF($B$1="Duet",IF(P965="","",P965),IF($B$1="Mixed",IF(S965="","",S965),IF(V965="","",V965))))))</f>
        <v>#N/A</v>
      </c>
      <c r="C466" s="3" t="e">
        <f>IF('Coach Card'!$T$5="",IF($B$1="Solo",IF(N465="","",N465),IF($B$1="MSolo",IF(Q465="","",Q465),IF($B$1="Duet",IF(T465="","",T465),IF($B$1="Mixed",IF(W465="","",W465),IF(Z465="","",Z465))))),IF($B$1="Solo",IF(N965="","",N965),IF($B$1="MSolo",IF(N965="","",N965),IF($B$1="Duet",IF(Q965="","",Q965),IF($B$1="Mixed",IF(T965="","",T965),IF(W965="","",W965))))))</f>
        <v>#N/A</v>
      </c>
      <c r="D466" s="3" t="e">
        <f>IF('Coach Card'!$T$5="",IF($D$1="Team",IF(AG465="","",AG465),""),IF($D$1="Team",IF(AD965="","",AD965),""))</f>
        <v>#N/A</v>
      </c>
      <c r="E466" s="3" t="e">
        <f>IF('Coach Card'!$T$5="",IF($D$1="Team",IF(AH465="","",AH465),""),IF($D$1="Team",IF(AE965="","",AE965),""))</f>
        <v>#N/A</v>
      </c>
      <c r="X466" s="1" t="s">
        <v>625</v>
      </c>
      <c r="Y466" t="s">
        <v>2287</v>
      </c>
      <c r="Z466" s="3">
        <v>0.06</v>
      </c>
      <c r="AK466" t="s">
        <v>2147</v>
      </c>
      <c r="AL466" t="s">
        <v>1700</v>
      </c>
      <c r="AM466">
        <v>0.5</v>
      </c>
    </row>
    <row r="467" spans="1:39" x14ac:dyDescent="0.35">
      <c r="A467" s="6" t="e">
        <f>IF('Coach Card'!$T$5="",IF($B$1="Solo",IF(L466="","",L466),IF($B$1="MSolo",IF(O466="","",O466),IF($B$1="Duet",IF(R466="","",R466),IF($B$1="Mixed",IF(U466="","",U466),IF(X466="","",X466))))),IF($B$1="Solo",IF(L966="","",L966),IF($B$1="MSolo",IF(L966="","",L966),IF($B$1="Duet",IF(O966="","",O966),IF($B$1="Mixed",IF(R966="","",R966),IF(U966="","",U966))))))</f>
        <v>#N/A</v>
      </c>
      <c r="B467" s="3" t="e">
        <f>IF('Coach Card'!$T$5="",IF($B$1="Solo",IF(M466="","",M466),IF($B$1="MSolo",IF(P466="","",P466),IF($B$1="Duet",IF(S466="","",S466),IF($B$1="Mixed",IF(V466="","",V466),IF(Y466="","",Y466))))),IF($B$1="Solo",IF(M966="","",M966),IF($B$1="MSolo",IF(M966="","",M966),IF($B$1="Duet",IF(P966="","",P966),IF($B$1="Mixed",IF(S966="","",S966),IF(V966="","",V966))))))</f>
        <v>#N/A</v>
      </c>
      <c r="C467" s="3" t="e">
        <f>IF('Coach Card'!$T$5="",IF($B$1="Solo",IF(N466="","",N466),IF($B$1="MSolo",IF(Q466="","",Q466),IF($B$1="Duet",IF(T466="","",T466),IF($B$1="Mixed",IF(W466="","",W466),IF(Z466="","",Z466))))),IF($B$1="Solo",IF(N966="","",N966),IF($B$1="MSolo",IF(N966="","",N966),IF($B$1="Duet",IF(Q966="","",Q966),IF($B$1="Mixed",IF(T966="","",T966),IF(W966="","",W966))))))</f>
        <v>#N/A</v>
      </c>
      <c r="D467" s="3" t="e">
        <f>IF('Coach Card'!$T$5="",IF($D$1="Team",IF(AG466="","",AG466),""),IF($D$1="Team",IF(AD966="","",AD966),""))</f>
        <v>#N/A</v>
      </c>
      <c r="E467" s="3" t="e">
        <f>IF('Coach Card'!$T$5="",IF($D$1="Team",IF(AH466="","",AH466),""),IF($D$1="Team",IF(AE966="","",AE966),""))</f>
        <v>#N/A</v>
      </c>
      <c r="X467" s="1" t="s">
        <v>625</v>
      </c>
      <c r="Y467" t="s">
        <v>2288</v>
      </c>
      <c r="Z467" s="3">
        <v>0.09</v>
      </c>
      <c r="AK467" t="s">
        <v>2148</v>
      </c>
      <c r="AL467" t="s">
        <v>1701</v>
      </c>
      <c r="AM467">
        <v>0.5</v>
      </c>
    </row>
    <row r="468" spans="1:39" x14ac:dyDescent="0.35">
      <c r="A468" s="6" t="e">
        <f>IF('Coach Card'!$T$5="",IF($B$1="Solo",IF(L467="","",L467),IF($B$1="MSolo",IF(O467="","",O467),IF($B$1="Duet",IF(R467="","",R467),IF($B$1="Mixed",IF(U467="","",U467),IF(X467="","",X467))))),IF($B$1="Solo",IF(L967="","",L967),IF($B$1="MSolo",IF(L967="","",L967),IF($B$1="Duet",IF(O967="","",O967),IF($B$1="Mixed",IF(R967="","",R967),IF(U967="","",U967))))))</f>
        <v>#N/A</v>
      </c>
      <c r="B468" s="3" t="e">
        <f>IF('Coach Card'!$T$5="",IF($B$1="Solo",IF(M467="","",M467),IF($B$1="MSolo",IF(P467="","",P467),IF($B$1="Duet",IF(S467="","",S467),IF($B$1="Mixed",IF(V467="","",V467),IF(Y467="","",Y467))))),IF($B$1="Solo",IF(M967="","",M967),IF($B$1="MSolo",IF(M967="","",M967),IF($B$1="Duet",IF(P967="","",P967),IF($B$1="Mixed",IF(S967="","",S967),IF(V967="","",V967))))))</f>
        <v>#N/A</v>
      </c>
      <c r="C468" s="3" t="e">
        <f>IF('Coach Card'!$T$5="",IF($B$1="Solo",IF(N467="","",N467),IF($B$1="MSolo",IF(Q467="","",Q467),IF($B$1="Duet",IF(T467="","",T467),IF($B$1="Mixed",IF(W467="","",W467),IF(Z467="","",Z467))))),IF($B$1="Solo",IF(N967="","",N967),IF($B$1="MSolo",IF(N967="","",N967),IF($B$1="Duet",IF(Q967="","",Q967),IF($B$1="Mixed",IF(T967="","",T967),IF(W967="","",W967))))))</f>
        <v>#N/A</v>
      </c>
      <c r="D468" s="3" t="e">
        <f>IF('Coach Card'!$T$5="",IF($D$1="Team",IF(AG467="","",AG467),""),IF($D$1="Team",IF(AD967="","",AD967),""))</f>
        <v>#N/A</v>
      </c>
      <c r="E468" s="3" t="e">
        <f>IF('Coach Card'!$T$5="",IF($D$1="Team",IF(AH467="","",AH467),""),IF($D$1="Team",IF(AE967="","",AE967),""))</f>
        <v>#N/A</v>
      </c>
      <c r="X468" s="1" t="s">
        <v>625</v>
      </c>
      <c r="Y468" t="s">
        <v>2289</v>
      </c>
      <c r="Z468" s="3">
        <v>0.09</v>
      </c>
      <c r="AK468" t="s">
        <v>2283</v>
      </c>
      <c r="AL468" t="s">
        <v>1702</v>
      </c>
      <c r="AM468">
        <v>0.5</v>
      </c>
    </row>
    <row r="469" spans="1:39" x14ac:dyDescent="0.35">
      <c r="A469" s="6" t="e">
        <f>IF('Coach Card'!$T$5="",IF($B$1="Solo",IF(L468="","",L468),IF($B$1="MSolo",IF(O468="","",O468),IF($B$1="Duet",IF(R468="","",R468),IF($B$1="Mixed",IF(U468="","",U468),IF(X468="","",X468))))),IF($B$1="Solo",IF(L968="","",L968),IF($B$1="MSolo",IF(L968="","",L968),IF($B$1="Duet",IF(O968="","",O968),IF($B$1="Mixed",IF(R968="","",R968),IF(U968="","",U968))))))</f>
        <v>#N/A</v>
      </c>
      <c r="B469" s="3" t="e">
        <f>IF('Coach Card'!$T$5="",IF($B$1="Solo",IF(M468="","",M468),IF($B$1="MSolo",IF(P468="","",P468),IF($B$1="Duet",IF(S468="","",S468),IF($B$1="Mixed",IF(V468="","",V468),IF(Y468="","",Y468))))),IF($B$1="Solo",IF(M968="","",M968),IF($B$1="MSolo",IF(M968="","",M968),IF($B$1="Duet",IF(P968="","",P968),IF($B$1="Mixed",IF(S968="","",S968),IF(V968="","",V968))))))</f>
        <v>#N/A</v>
      </c>
      <c r="C469" s="3" t="e">
        <f>IF('Coach Card'!$T$5="",IF($B$1="Solo",IF(N468="","",N468),IF($B$1="MSolo",IF(Q468="","",Q468),IF($B$1="Duet",IF(T468="","",T468),IF($B$1="Mixed",IF(W468="","",W468),IF(Z468="","",Z468))))),IF($B$1="Solo",IF(N968="","",N968),IF($B$1="MSolo",IF(N968="","",N968),IF($B$1="Duet",IF(Q968="","",Q968),IF($B$1="Mixed",IF(T968="","",T968),IF(W968="","",W968))))))</f>
        <v>#N/A</v>
      </c>
      <c r="D469" s="3" t="e">
        <f>IF('Coach Card'!$T$5="",IF($D$1="Team",IF(AG468="","",AG468),""),IF($D$1="Team",IF(AD968="","",AD968),""))</f>
        <v>#N/A</v>
      </c>
      <c r="E469" s="3" t="e">
        <f>IF('Coach Card'!$T$5="",IF($D$1="Team",IF(AH468="","",AH468),""),IF($D$1="Team",IF(AE968="","",AE968),""))</f>
        <v>#N/A</v>
      </c>
      <c r="X469" s="1" t="s">
        <v>625</v>
      </c>
      <c r="Y469" t="s">
        <v>2290</v>
      </c>
      <c r="Z469" s="3">
        <v>0.12</v>
      </c>
      <c r="AK469" t="s">
        <v>2284</v>
      </c>
      <c r="AL469" t="s">
        <v>1703</v>
      </c>
      <c r="AM469">
        <v>0.5</v>
      </c>
    </row>
    <row r="470" spans="1:39" x14ac:dyDescent="0.35">
      <c r="A470" s="6" t="e">
        <f>IF('Coach Card'!$T$5="",IF($B$1="Solo",IF(L469="","",L469),IF($B$1="MSolo",IF(O469="","",O469),IF($B$1="Duet",IF(R469="","",R469),IF($B$1="Mixed",IF(U469="","",U469),IF(X469="","",X469))))),IF($B$1="Solo",IF(L969="","",L969),IF($B$1="MSolo",IF(L969="","",L969),IF($B$1="Duet",IF(O969="","",O969),IF($B$1="Mixed",IF(R969="","",R969),IF(U969="","",U969))))))</f>
        <v>#N/A</v>
      </c>
      <c r="B470" s="3" t="e">
        <f>IF('Coach Card'!$T$5="",IF($B$1="Solo",IF(M469="","",M469),IF($B$1="MSolo",IF(P469="","",P469),IF($B$1="Duet",IF(S469="","",S469),IF($B$1="Mixed",IF(V469="","",V469),IF(Y469="","",Y469))))),IF($B$1="Solo",IF(M969="","",M969),IF($B$1="MSolo",IF(M969="","",M969),IF($B$1="Duet",IF(P969="","",P969),IF($B$1="Mixed",IF(S969="","",S969),IF(V969="","",V969))))))</f>
        <v>#N/A</v>
      </c>
      <c r="C470" s="3" t="e">
        <f>IF('Coach Card'!$T$5="",IF($B$1="Solo",IF(N469="","",N469),IF($B$1="MSolo",IF(Q469="","",Q469),IF($B$1="Duet",IF(T469="","",T469),IF($B$1="Mixed",IF(W469="","",W469),IF(Z469="","",Z469))))),IF($B$1="Solo",IF(N969="","",N969),IF($B$1="MSolo",IF(N969="","",N969),IF($B$1="Duet",IF(Q969="","",Q969),IF($B$1="Mixed",IF(T969="","",T969),IF(W969="","",W969))))))</f>
        <v>#N/A</v>
      </c>
      <c r="D470" s="3" t="e">
        <f>IF('Coach Card'!$T$5="",IF($D$1="Team",IF(AG469="","",AG469),""),IF($D$1="Team",IF(AD969="","",AD969),""))</f>
        <v>#N/A</v>
      </c>
      <c r="E470" s="3" t="e">
        <f>IF('Coach Card'!$T$5="",IF($D$1="Team",IF(AH469="","",AH469),""),IF($D$1="Team",IF(AE969="","",AE969),""))</f>
        <v>#N/A</v>
      </c>
      <c r="X470" s="1" t="s">
        <v>625</v>
      </c>
      <c r="Y470" t="s">
        <v>2291</v>
      </c>
      <c r="Z470" s="3">
        <v>0.09</v>
      </c>
      <c r="AK470" t="s">
        <v>2285</v>
      </c>
      <c r="AL470" t="s">
        <v>1834</v>
      </c>
      <c r="AM470">
        <v>0.5</v>
      </c>
    </row>
    <row r="471" spans="1:39" x14ac:dyDescent="0.35">
      <c r="A471" s="6" t="e">
        <f>IF('Coach Card'!$T$5="",IF($B$1="Solo",IF(L470="","",L470),IF($B$1="MSolo",IF(O470="","",O470),IF($B$1="Duet",IF(R470="","",R470),IF($B$1="Mixed",IF(U470="","",U470),IF(X470="","",X470))))),IF($B$1="Solo",IF(L970="","",L970),IF($B$1="MSolo",IF(L970="","",L970),IF($B$1="Duet",IF(O970="","",O970),IF($B$1="Mixed",IF(R970="","",R970),IF(U970="","",U970))))))</f>
        <v>#N/A</v>
      </c>
      <c r="B471" s="3" t="e">
        <f>IF('Coach Card'!$T$5="",IF($B$1="Solo",IF(M470="","",M470),IF($B$1="MSolo",IF(P470="","",P470),IF($B$1="Duet",IF(S470="","",S470),IF($B$1="Mixed",IF(V470="","",V470),IF(Y470="","",Y470))))),IF($B$1="Solo",IF(M970="","",M970),IF($B$1="MSolo",IF(M970="","",M970),IF($B$1="Duet",IF(P970="","",P970),IF($B$1="Mixed",IF(S970="","",S970),IF(V970="","",V970))))))</f>
        <v>#N/A</v>
      </c>
      <c r="C471" s="3" t="e">
        <f>IF('Coach Card'!$T$5="",IF($B$1="Solo",IF(N470="","",N470),IF($B$1="MSolo",IF(Q470="","",Q470),IF($B$1="Duet",IF(T470="","",T470),IF($B$1="Mixed",IF(W470="","",W470),IF(Z470="","",Z470))))),IF($B$1="Solo",IF(N970="","",N970),IF($B$1="MSolo",IF(N970="","",N970),IF($B$1="Duet",IF(Q970="","",Q970),IF($B$1="Mixed",IF(T970="","",T970),IF(W970="","",W970))))))</f>
        <v>#N/A</v>
      </c>
      <c r="D471" s="3" t="e">
        <f>IF('Coach Card'!$T$5="",IF($D$1="Team",IF(AG470="","",AG470),""),IF($D$1="Team",IF(AD970="","",AD970),""))</f>
        <v>#N/A</v>
      </c>
      <c r="E471" s="3" t="e">
        <f>IF('Coach Card'!$T$5="",IF($D$1="Team",IF(AH470="","",AH470),""),IF($D$1="Team",IF(AE970="","",AE970),""))</f>
        <v>#N/A</v>
      </c>
      <c r="X471" s="1" t="s">
        <v>625</v>
      </c>
      <c r="Y471" t="s">
        <v>2292</v>
      </c>
      <c r="Z471" s="3">
        <v>0.12</v>
      </c>
      <c r="AK471" t="s">
        <v>2286</v>
      </c>
      <c r="AL471" t="s">
        <v>1836</v>
      </c>
      <c r="AM471">
        <v>0.5</v>
      </c>
    </row>
    <row r="472" spans="1:39" x14ac:dyDescent="0.35">
      <c r="A472" s="6" t="e">
        <f>IF('Coach Card'!$T$5="",IF($B$1="Solo",IF(L471="","",L471),IF($B$1="MSolo",IF(O471="","",O471),IF($B$1="Duet",IF(R471="","",R471),IF($B$1="Mixed",IF(U471="","",U471),IF(X471="","",X471))))),IF($B$1="Solo",IF(L971="","",L971),IF($B$1="MSolo",IF(L971="","",L971),IF($B$1="Duet",IF(O971="","",O971),IF($B$1="Mixed",IF(R971="","",R971),IF(U971="","",U971))))))</f>
        <v>#N/A</v>
      </c>
      <c r="B472" s="3" t="e">
        <f>IF('Coach Card'!$T$5="",IF($B$1="Solo",IF(M471="","",M471),IF($B$1="MSolo",IF(P471="","",P471),IF($B$1="Duet",IF(S471="","",S471),IF($B$1="Mixed",IF(V471="","",V471),IF(Y471="","",Y471))))),IF($B$1="Solo",IF(M971="","",M971),IF($B$1="MSolo",IF(M971="","",M971),IF($B$1="Duet",IF(P971="","",P971),IF($B$1="Mixed",IF(S971="","",S971),IF(V971="","",V971))))))</f>
        <v>#N/A</v>
      </c>
      <c r="C472" s="3" t="e">
        <f>IF('Coach Card'!$T$5="",IF($B$1="Solo",IF(N471="","",N471),IF($B$1="MSolo",IF(Q471="","",Q471),IF($B$1="Duet",IF(T471="","",T471),IF($B$1="Mixed",IF(W471="","",W471),IF(Z471="","",Z471))))),IF($B$1="Solo",IF(N971="","",N971),IF($B$1="MSolo",IF(N971="","",N971),IF($B$1="Duet",IF(Q971="","",Q971),IF($B$1="Mixed",IF(T971="","",T971),IF(W971="","",W971))))))</f>
        <v>#N/A</v>
      </c>
      <c r="D472" s="3" t="e">
        <f>IF('Coach Card'!$T$5="",IF($D$1="Team",IF(AG471="","",AG471),""),IF($D$1="Team",IF(AD971="","",AD971),""))</f>
        <v>#N/A</v>
      </c>
      <c r="E472" s="3" t="e">
        <f>IF('Coach Card'!$T$5="",IF($D$1="Team",IF(AH471="","",AH471),""),IF($D$1="Team",IF(AE971="","",AE971),""))</f>
        <v>#N/A</v>
      </c>
      <c r="X472" s="1" t="s">
        <v>625</v>
      </c>
      <c r="Y472" t="s">
        <v>2293</v>
      </c>
      <c r="Z472" s="3">
        <v>0.09</v>
      </c>
      <c r="AK472" t="s">
        <v>2287</v>
      </c>
      <c r="AL472" t="s">
        <v>1835</v>
      </c>
      <c r="AM472">
        <v>0.5</v>
      </c>
    </row>
    <row r="473" spans="1:39" x14ac:dyDescent="0.35">
      <c r="A473" s="6" t="e">
        <f>IF('Coach Card'!$T$5="",IF($B$1="Solo",IF(L472="","",L472),IF($B$1="MSolo",IF(O472="","",O472),IF($B$1="Duet",IF(R472="","",R472),IF($B$1="Mixed",IF(U472="","",U472),IF(X472="","",X472))))),IF($B$1="Solo",IF(L972="","",L972),IF($B$1="MSolo",IF(L972="","",L972),IF($B$1="Duet",IF(O972="","",O972),IF($B$1="Mixed",IF(R972="","",R972),IF(U972="","",U972))))))</f>
        <v>#N/A</v>
      </c>
      <c r="B473" s="3" t="e">
        <f>IF('Coach Card'!$T$5="",IF($B$1="Solo",IF(M472="","",M472),IF($B$1="MSolo",IF(P472="","",P472),IF($B$1="Duet",IF(S472="","",S472),IF($B$1="Mixed",IF(V472="","",V472),IF(Y472="","",Y472))))),IF($B$1="Solo",IF(M972="","",M972),IF($B$1="MSolo",IF(M972="","",M972),IF($B$1="Duet",IF(P972="","",P972),IF($B$1="Mixed",IF(S972="","",S972),IF(V972="","",V972))))))</f>
        <v>#N/A</v>
      </c>
      <c r="C473" s="3" t="e">
        <f>IF('Coach Card'!$T$5="",IF($B$1="Solo",IF(N472="","",N472),IF($B$1="MSolo",IF(Q472="","",Q472),IF($B$1="Duet",IF(T472="","",T472),IF($B$1="Mixed",IF(W472="","",W472),IF(Z472="","",Z472))))),IF($B$1="Solo",IF(N972="","",N972),IF($B$1="MSolo",IF(N972="","",N972),IF($B$1="Duet",IF(Q972="","",Q972),IF($B$1="Mixed",IF(T972="","",T972),IF(W972="","",W972))))))</f>
        <v>#N/A</v>
      </c>
      <c r="D473" s="3" t="e">
        <f>IF('Coach Card'!$T$5="",IF($D$1="Team",IF(AG472="","",AG472),""),IF($D$1="Team",IF(AD972="","",AD972),""))</f>
        <v>#N/A</v>
      </c>
      <c r="E473" s="3" t="e">
        <f>IF('Coach Card'!$T$5="",IF($D$1="Team",IF(AH472="","",AH472),""),IF($D$1="Team",IF(AE972="","",AE972),""))</f>
        <v>#N/A</v>
      </c>
      <c r="X473" s="1" t="s">
        <v>625</v>
      </c>
      <c r="Y473" t="s">
        <v>2294</v>
      </c>
      <c r="Z473" s="3">
        <v>0.12</v>
      </c>
      <c r="AK473" t="s">
        <v>2288</v>
      </c>
      <c r="AL473" t="s">
        <v>1837</v>
      </c>
      <c r="AM473">
        <v>0.5</v>
      </c>
    </row>
    <row r="474" spans="1:39" x14ac:dyDescent="0.35">
      <c r="A474" s="6" t="e">
        <f>IF('Coach Card'!$T$5="",IF($B$1="Solo",IF(L473="","",L473),IF($B$1="MSolo",IF(O473="","",O473),IF($B$1="Duet",IF(R473="","",R473),IF($B$1="Mixed",IF(U473="","",U473),IF(X473="","",X473))))),IF($B$1="Solo",IF(L973="","",L973),IF($B$1="MSolo",IF(L973="","",L973),IF($B$1="Duet",IF(O973="","",O973),IF($B$1="Mixed",IF(R973="","",R973),IF(U973="","",U973))))))</f>
        <v>#N/A</v>
      </c>
      <c r="B474" s="3" t="e">
        <f>IF('Coach Card'!$T$5="",IF($B$1="Solo",IF(M473="","",M473),IF($B$1="MSolo",IF(P473="","",P473),IF($B$1="Duet",IF(S473="","",S473),IF($B$1="Mixed",IF(V473="","",V473),IF(Y473="","",Y473))))),IF($B$1="Solo",IF(M973="","",M973),IF($B$1="MSolo",IF(M973="","",M973),IF($B$1="Duet",IF(P973="","",P973),IF($B$1="Mixed",IF(S973="","",S973),IF(V973="","",V973))))))</f>
        <v>#N/A</v>
      </c>
      <c r="C474" s="3" t="e">
        <f>IF('Coach Card'!$T$5="",IF($B$1="Solo",IF(N473="","",N473),IF($B$1="MSolo",IF(Q473="","",Q473),IF($B$1="Duet",IF(T473="","",T473),IF($B$1="Mixed",IF(W473="","",W473),IF(Z473="","",Z473))))),IF($B$1="Solo",IF(N973="","",N973),IF($B$1="MSolo",IF(N973="","",N973),IF($B$1="Duet",IF(Q973="","",Q973),IF($B$1="Mixed",IF(T973="","",T973),IF(W973="","",W973))))))</f>
        <v>#N/A</v>
      </c>
      <c r="D474" s="3" t="e">
        <f>IF('Coach Card'!$T$5="",IF($D$1="Team",IF(AG473="","",AG473),""),IF($D$1="Team",IF(AD973="","",AD973),""))</f>
        <v>#N/A</v>
      </c>
      <c r="E474" s="3" t="e">
        <f>IF('Coach Card'!$T$5="",IF($D$1="Team",IF(AH473="","",AH473),""),IF($D$1="Team",IF(AE973="","",AE973),""))</f>
        <v>#N/A</v>
      </c>
      <c r="X474" s="1" t="s">
        <v>625</v>
      </c>
      <c r="Y474" t="s">
        <v>2295</v>
      </c>
      <c r="Z474" s="3">
        <v>0.12</v>
      </c>
      <c r="AK474" t="s">
        <v>2289</v>
      </c>
      <c r="AL474" t="s">
        <v>1838</v>
      </c>
      <c r="AM474">
        <v>0.5</v>
      </c>
    </row>
    <row r="475" spans="1:39" x14ac:dyDescent="0.35">
      <c r="A475" s="6" t="e">
        <f>IF('Coach Card'!$T$5="",IF($B$1="Solo",IF(L474="","",L474),IF($B$1="MSolo",IF(O474="","",O474),IF($B$1="Duet",IF(R474="","",R474),IF($B$1="Mixed",IF(U474="","",U474),IF(X474="","",X474))))),IF($B$1="Solo",IF(L974="","",L974),IF($B$1="MSolo",IF(L974="","",L974),IF($B$1="Duet",IF(O974="","",O974),IF($B$1="Mixed",IF(R974="","",R974),IF(U974="","",U974))))))</f>
        <v>#N/A</v>
      </c>
      <c r="B475" s="3" t="e">
        <f>IF('Coach Card'!$T$5="",IF($B$1="Solo",IF(M474="","",M474),IF($B$1="MSolo",IF(P474="","",P474),IF($B$1="Duet",IF(S474="","",S474),IF($B$1="Mixed",IF(V474="","",V474),IF(Y474="","",Y474))))),IF($B$1="Solo",IF(M974="","",M974),IF($B$1="MSolo",IF(M974="","",M974),IF($B$1="Duet",IF(P974="","",P974),IF($B$1="Mixed",IF(S974="","",S974),IF(V974="","",V974))))))</f>
        <v>#N/A</v>
      </c>
      <c r="C475" s="3" t="e">
        <f>IF('Coach Card'!$T$5="",IF($B$1="Solo",IF(N474="","",N474),IF($B$1="MSolo",IF(Q474="","",Q474),IF($B$1="Duet",IF(T474="","",T474),IF($B$1="Mixed",IF(W474="","",W474),IF(Z474="","",Z474))))),IF($B$1="Solo",IF(N974="","",N974),IF($B$1="MSolo",IF(N974="","",N974),IF($B$1="Duet",IF(Q974="","",Q974),IF($B$1="Mixed",IF(T974="","",T974),IF(W974="","",W974))))))</f>
        <v>#N/A</v>
      </c>
      <c r="D475" s="3" t="e">
        <f>IF('Coach Card'!$T$5="",IF($D$1="Team",IF(AG474="","",AG474),""),IF($D$1="Team",IF(AD974="","",AD974),""))</f>
        <v>#N/A</v>
      </c>
      <c r="E475" s="3" t="e">
        <f>IF('Coach Card'!$T$5="",IF($D$1="Team",IF(AH474="","",AH474),""),IF($D$1="Team",IF(AE974="","",AE974),""))</f>
        <v>#N/A</v>
      </c>
      <c r="X475" s="1" t="s">
        <v>625</v>
      </c>
      <c r="Y475" t="s">
        <v>2296</v>
      </c>
      <c r="Z475" s="3">
        <v>0.15</v>
      </c>
      <c r="AK475" t="s">
        <v>2290</v>
      </c>
      <c r="AL475" t="s">
        <v>1841</v>
      </c>
      <c r="AM475">
        <v>0.5</v>
      </c>
    </row>
    <row r="476" spans="1:39" x14ac:dyDescent="0.35">
      <c r="A476" s="6" t="e">
        <f>IF('Coach Card'!$T$5="",IF($B$1="Solo",IF(L475="","",L475),IF($B$1="MSolo",IF(O475="","",O475),IF($B$1="Duet",IF(R475="","",R475),IF($B$1="Mixed",IF(U475="","",U475),IF(X475="","",X475))))),IF($B$1="Solo",IF(L975="","",L975),IF($B$1="MSolo",IF(L975="","",L975),IF($B$1="Duet",IF(O975="","",O975),IF($B$1="Mixed",IF(R975="","",R975),IF(U975="","",U975))))))</f>
        <v>#N/A</v>
      </c>
      <c r="B476" s="3" t="e">
        <f>IF('Coach Card'!$T$5="",IF($B$1="Solo",IF(M475="","",M475),IF($B$1="MSolo",IF(P475="","",P475),IF($B$1="Duet",IF(S475="","",S475),IF($B$1="Mixed",IF(V475="","",V475),IF(Y475="","",Y475))))),IF($B$1="Solo",IF(M975="","",M975),IF($B$1="MSolo",IF(M975="","",M975),IF($B$1="Duet",IF(P975="","",P975),IF($B$1="Mixed",IF(S975="","",S975),IF(V975="","",V975))))))</f>
        <v>#N/A</v>
      </c>
      <c r="C476" s="3" t="e">
        <f>IF('Coach Card'!$T$5="",IF($B$1="Solo",IF(N475="","",N475),IF($B$1="MSolo",IF(Q475="","",Q475),IF($B$1="Duet",IF(T475="","",T475),IF($B$1="Mixed",IF(W475="","",W475),IF(Z475="","",Z475))))),IF($B$1="Solo",IF(N975="","",N975),IF($B$1="MSolo",IF(N975="","",N975),IF($B$1="Duet",IF(Q975="","",Q975),IF($B$1="Mixed",IF(T975="","",T975),IF(W975="","",W975))))))</f>
        <v>#N/A</v>
      </c>
      <c r="D476" s="3" t="e">
        <f>IF('Coach Card'!$T$5="",IF($D$1="Team",IF(AG475="","",AG475),""),IF($D$1="Team",IF(AD975="","",AD975),""))</f>
        <v>#N/A</v>
      </c>
      <c r="E476" s="3" t="e">
        <f>IF('Coach Card'!$T$5="",IF($D$1="Team",IF(AH475="","",AH475),""),IF($D$1="Team",IF(AE975="","",AE975),""))</f>
        <v>#N/A</v>
      </c>
      <c r="X476" s="1" t="s">
        <v>625</v>
      </c>
      <c r="Y476" t="s">
        <v>2297</v>
      </c>
      <c r="Z476" s="3">
        <v>0.15</v>
      </c>
      <c r="AK476" t="s">
        <v>2291</v>
      </c>
      <c r="AL476" t="s">
        <v>1839</v>
      </c>
      <c r="AM476">
        <v>0.5</v>
      </c>
    </row>
    <row r="477" spans="1:39" x14ac:dyDescent="0.35">
      <c r="A477" s="6" t="e">
        <f>IF('Coach Card'!$T$5="",IF($B$1="Solo",IF(L476="","",L476),IF($B$1="MSolo",IF(O476="","",O476),IF($B$1="Duet",IF(R476="","",R476),IF($B$1="Mixed",IF(U476="","",U476),IF(X476="","",X476))))),IF($B$1="Solo",IF(L976="","",L976),IF($B$1="MSolo",IF(L976="","",L976),IF($B$1="Duet",IF(O976="","",O976),IF($B$1="Mixed",IF(R976="","",R976),IF(U976="","",U976))))))</f>
        <v>#N/A</v>
      </c>
      <c r="B477" s="3" t="e">
        <f>IF('Coach Card'!$T$5="",IF($B$1="Solo",IF(M476="","",M476),IF($B$1="MSolo",IF(P476="","",P476),IF($B$1="Duet",IF(S476="","",S476),IF($B$1="Mixed",IF(V476="","",V476),IF(Y476="","",Y476))))),IF($B$1="Solo",IF(M976="","",M976),IF($B$1="MSolo",IF(M976="","",M976),IF($B$1="Duet",IF(P976="","",P976),IF($B$1="Mixed",IF(S976="","",S976),IF(V976="","",V976))))))</f>
        <v>#N/A</v>
      </c>
      <c r="C477" s="3" t="e">
        <f>IF('Coach Card'!$T$5="",IF($B$1="Solo",IF(N476="","",N476),IF($B$1="MSolo",IF(Q476="","",Q476),IF($B$1="Duet",IF(T476="","",T476),IF($B$1="Mixed",IF(W476="","",W476),IF(Z476="","",Z476))))),IF($B$1="Solo",IF(N976="","",N976),IF($B$1="MSolo",IF(N976="","",N976),IF($B$1="Duet",IF(Q976="","",Q976),IF($B$1="Mixed",IF(T976="","",T976),IF(W976="","",W976))))))</f>
        <v>#N/A</v>
      </c>
      <c r="D477" s="3" t="e">
        <f>IF('Coach Card'!$T$5="",IF($D$1="Team",IF(AG476="","",AG476),""),IF($D$1="Team",IF(AD976="","",AD976),""))</f>
        <v>#N/A</v>
      </c>
      <c r="E477" s="3" t="e">
        <f>IF('Coach Card'!$T$5="",IF($D$1="Team",IF(AH476="","",AH476),""),IF($D$1="Team",IF(AE976="","",AE976),""))</f>
        <v>#N/A</v>
      </c>
      <c r="X477" s="1" t="s">
        <v>625</v>
      </c>
      <c r="Y477" t="s">
        <v>2298</v>
      </c>
      <c r="Z477" s="3">
        <v>0.18</v>
      </c>
      <c r="AK477" t="s">
        <v>2292</v>
      </c>
      <c r="AL477" t="s">
        <v>1842</v>
      </c>
      <c r="AM477">
        <v>0.5</v>
      </c>
    </row>
    <row r="478" spans="1:39" x14ac:dyDescent="0.35">
      <c r="A478" s="6" t="e">
        <f>IF('Coach Card'!$T$5="",IF($B$1="Solo",IF(L477="","",L477),IF($B$1="MSolo",IF(O477="","",O477),IF($B$1="Duet",IF(R477="","",R477),IF($B$1="Mixed",IF(U477="","",U477),IF(X477="","",X477))))),IF($B$1="Solo",IF(L977="","",L977),IF($B$1="MSolo",IF(L977="","",L977),IF($B$1="Duet",IF(O977="","",O977),IF($B$1="Mixed",IF(R977="","",R977),IF(U977="","",U977))))))</f>
        <v>#N/A</v>
      </c>
      <c r="B478" s="3" t="e">
        <f>IF('Coach Card'!$T$5="",IF($B$1="Solo",IF(M477="","",M477),IF($B$1="MSolo",IF(P477="","",P477),IF($B$1="Duet",IF(S477="","",S477),IF($B$1="Mixed",IF(V477="","",V477),IF(Y477="","",Y477))))),IF($B$1="Solo",IF(M977="","",M977),IF($B$1="MSolo",IF(M977="","",M977),IF($B$1="Duet",IF(P977="","",P977),IF($B$1="Mixed",IF(S977="","",S977),IF(V977="","",V977))))))</f>
        <v>#N/A</v>
      </c>
      <c r="C478" s="3" t="e">
        <f>IF('Coach Card'!$T$5="",IF($B$1="Solo",IF(N477="","",N477),IF($B$1="MSolo",IF(Q477="","",Q477),IF($B$1="Duet",IF(T477="","",T477),IF($B$1="Mixed",IF(W477="","",W477),IF(Z477="","",Z477))))),IF($B$1="Solo",IF(N977="","",N977),IF($B$1="MSolo",IF(N977="","",N977),IF($B$1="Duet",IF(Q977="","",Q977),IF($B$1="Mixed",IF(T977="","",T977),IF(W977="","",W977))))))</f>
        <v>#N/A</v>
      </c>
      <c r="D478" s="3" t="e">
        <f>IF('Coach Card'!$T$5="",IF($D$1="Team",IF(AG477="","",AG477),""),IF($D$1="Team",IF(AD977="","",AD977),""))</f>
        <v>#N/A</v>
      </c>
      <c r="E478" s="3" t="e">
        <f>IF('Coach Card'!$T$5="",IF($D$1="Team",IF(AH477="","",AH477),""),IF($D$1="Team",IF(AE977="","",AE977),""))</f>
        <v>#N/A</v>
      </c>
      <c r="X478" s="1" t="s">
        <v>625</v>
      </c>
      <c r="Y478" t="s">
        <v>2299</v>
      </c>
      <c r="Z478" s="3">
        <v>0.3</v>
      </c>
      <c r="AK478" t="s">
        <v>2293</v>
      </c>
      <c r="AL478" t="s">
        <v>1840</v>
      </c>
      <c r="AM478">
        <v>0.5</v>
      </c>
    </row>
    <row r="479" spans="1:39" x14ac:dyDescent="0.35">
      <c r="A479" s="6" t="e">
        <f>IF('Coach Card'!$T$5="",IF($B$1="Solo",IF(L478="","",L478),IF($B$1="MSolo",IF(O478="","",O478),IF($B$1="Duet",IF(R478="","",R478),IF($B$1="Mixed",IF(U478="","",U478),IF(X478="","",X478))))),IF($B$1="Solo",IF(L978="","",L978),IF($B$1="MSolo",IF(L978="","",L978),IF($B$1="Duet",IF(O978="","",O978),IF($B$1="Mixed",IF(R978="","",R978),IF(U978="","",U978))))))</f>
        <v>#N/A</v>
      </c>
      <c r="B479" s="3" t="e">
        <f>IF('Coach Card'!$T$5="",IF($B$1="Solo",IF(M478="","",M478),IF($B$1="MSolo",IF(P478="","",P478),IF($B$1="Duet",IF(S478="","",S478),IF($B$1="Mixed",IF(V478="","",V478),IF(Y478="","",Y478))))),IF($B$1="Solo",IF(M978="","",M978),IF($B$1="MSolo",IF(M978="","",M978),IF($B$1="Duet",IF(P978="","",P978),IF($B$1="Mixed",IF(S978="","",S978),IF(V978="","",V978))))))</f>
        <v>#N/A</v>
      </c>
      <c r="C479" s="3" t="e">
        <f>IF('Coach Card'!$T$5="",IF($B$1="Solo",IF(N478="","",N478),IF($B$1="MSolo",IF(Q478="","",Q478),IF($B$1="Duet",IF(T478="","",T478),IF($B$1="Mixed",IF(W478="","",W478),IF(Z478="","",Z478))))),IF($B$1="Solo",IF(N978="","",N978),IF($B$1="MSolo",IF(N978="","",N978),IF($B$1="Duet",IF(Q978="","",Q978),IF($B$1="Mixed",IF(T978="","",T978),IF(W978="","",W978))))))</f>
        <v>#N/A</v>
      </c>
      <c r="D479" s="3" t="e">
        <f>IF('Coach Card'!$T$5="",IF($D$1="Team",IF(AG478="","",AG478),""),IF($D$1="Team",IF(AD978="","",AD978),""))</f>
        <v>#N/A</v>
      </c>
      <c r="E479" s="3" t="e">
        <f>IF('Coach Card'!$T$5="",IF($D$1="Team",IF(AH478="","",AH478),""),IF($D$1="Team",IF(AE978="","",AE978),""))</f>
        <v>#N/A</v>
      </c>
      <c r="X479" s="1" t="s">
        <v>625</v>
      </c>
      <c r="Y479" t="s">
        <v>2300</v>
      </c>
      <c r="Z479" s="3">
        <v>0.33</v>
      </c>
      <c r="AK479" t="s">
        <v>2294</v>
      </c>
      <c r="AL479" t="s">
        <v>1843</v>
      </c>
      <c r="AM479">
        <v>0.5</v>
      </c>
    </row>
    <row r="480" spans="1:39" x14ac:dyDescent="0.35">
      <c r="A480" s="6" t="e">
        <f>IF('Coach Card'!$T$5="",IF($B$1="Solo",IF(L479="","",L479),IF($B$1="MSolo",IF(O479="","",O479),IF($B$1="Duet",IF(R479="","",R479),IF($B$1="Mixed",IF(U479="","",U479),IF(X479="","",X479))))),IF($B$1="Solo",IF(L979="","",L979),IF($B$1="MSolo",IF(L979="","",L979),IF($B$1="Duet",IF(O979="","",O979),IF($B$1="Mixed",IF(R979="","",R979),IF(U979="","",U979))))))</f>
        <v>#N/A</v>
      </c>
      <c r="B480" s="3" t="e">
        <f>IF('Coach Card'!$T$5="",IF($B$1="Solo",IF(M479="","",M479),IF($B$1="MSolo",IF(P479="","",P479),IF($B$1="Duet",IF(S479="","",S479),IF($B$1="Mixed",IF(V479="","",V479),IF(Y479="","",Y479))))),IF($B$1="Solo",IF(M979="","",M979),IF($B$1="MSolo",IF(M979="","",M979),IF($B$1="Duet",IF(P979="","",P979),IF($B$1="Mixed",IF(S979="","",S979),IF(V979="","",V979))))))</f>
        <v>#N/A</v>
      </c>
      <c r="C480" s="3" t="e">
        <f>IF('Coach Card'!$T$5="",IF($B$1="Solo",IF(N479="","",N479),IF($B$1="MSolo",IF(Q479="","",Q479),IF($B$1="Duet",IF(T479="","",T479),IF($B$1="Mixed",IF(W479="","",W479),IF(Z479="","",Z479))))),IF($B$1="Solo",IF(N979="","",N979),IF($B$1="MSolo",IF(N979="","",N979),IF($B$1="Duet",IF(Q979="","",Q979),IF($B$1="Mixed",IF(T979="","",T979),IF(W979="","",W979))))))</f>
        <v>#N/A</v>
      </c>
      <c r="D480" s="3" t="e">
        <f>IF('Coach Card'!$T$5="",IF($D$1="Team",IF(AG479="","",AG479),""),IF($D$1="Team",IF(AD979="","",AD979),""))</f>
        <v>#N/A</v>
      </c>
      <c r="E480" s="3" t="e">
        <f>IF('Coach Card'!$T$5="",IF($D$1="Team",IF(AH479="","",AH479),""),IF($D$1="Team",IF(AE979="","",AE979),""))</f>
        <v>#N/A</v>
      </c>
      <c r="X480" s="1" t="s">
        <v>625</v>
      </c>
      <c r="Y480" t="s">
        <v>2301</v>
      </c>
      <c r="Z480" s="3">
        <v>0.375</v>
      </c>
      <c r="AK480" t="s">
        <v>2295</v>
      </c>
      <c r="AL480" t="s">
        <v>60</v>
      </c>
      <c r="AM480">
        <v>0.5</v>
      </c>
    </row>
    <row r="481" spans="1:39" x14ac:dyDescent="0.35">
      <c r="A481" s="6" t="e">
        <f>IF('Coach Card'!$T$5="",IF($B$1="Solo",IF(L480="","",L480),IF($B$1="MSolo",IF(O480="","",O480),IF($B$1="Duet",IF(R480="","",R480),IF($B$1="Mixed",IF(U480="","",U480),IF(X480="","",X480))))),IF($B$1="Solo",IF(L980="","",L980),IF($B$1="MSolo",IF(L980="","",L980),IF($B$1="Duet",IF(O980="","",O980),IF($B$1="Mixed",IF(R980="","",R980),IF(U980="","",U980))))))</f>
        <v>#N/A</v>
      </c>
      <c r="B481" s="3" t="e">
        <f>IF('Coach Card'!$T$5="",IF($B$1="Solo",IF(M480="","",M480),IF($B$1="MSolo",IF(P480="","",P480),IF($B$1="Duet",IF(S480="","",S480),IF($B$1="Mixed",IF(V480="","",V480),IF(Y480="","",Y480))))),IF($B$1="Solo",IF(M980="","",M980),IF($B$1="MSolo",IF(M980="","",M980),IF($B$1="Duet",IF(P980="","",P980),IF($B$1="Mixed",IF(S980="","",S980),IF(V980="","",V980))))))</f>
        <v>#N/A</v>
      </c>
      <c r="C481" s="3" t="e">
        <f>IF('Coach Card'!$T$5="",IF($B$1="Solo",IF(N480="","",N480),IF($B$1="MSolo",IF(Q480="","",Q480),IF($B$1="Duet",IF(T480="","",T480),IF($B$1="Mixed",IF(W480="","",W480),IF(Z480="","",Z480))))),IF($B$1="Solo",IF(N980="","",N980),IF($B$1="MSolo",IF(N980="","",N980),IF($B$1="Duet",IF(Q980="","",Q980),IF($B$1="Mixed",IF(T980="","",T980),IF(W980="","",W980))))))</f>
        <v>#N/A</v>
      </c>
      <c r="D481" s="3" t="e">
        <f>IF('Coach Card'!$T$5="",IF($D$1="Team",IF(AG480="","",AG480),""),IF($D$1="Team",IF(AD980="","",AD980),""))</f>
        <v>#N/A</v>
      </c>
      <c r="E481" s="3" t="e">
        <f>IF('Coach Card'!$T$5="",IF($D$1="Team",IF(AH480="","",AH480),""),IF($D$1="Team",IF(AE980="","",AE980),""))</f>
        <v>#N/A</v>
      </c>
      <c r="X481" s="1" t="s">
        <v>625</v>
      </c>
      <c r="Y481" t="s">
        <v>2302</v>
      </c>
      <c r="Z481" s="3">
        <v>0.40500000000000003</v>
      </c>
      <c r="AK481" t="s">
        <v>2296</v>
      </c>
      <c r="AL481" t="s">
        <v>626</v>
      </c>
      <c r="AM481">
        <v>0.5</v>
      </c>
    </row>
    <row r="482" spans="1:39" x14ac:dyDescent="0.35">
      <c r="A482" s="6" t="e">
        <f>IF('Coach Card'!$T$5="",IF($B$1="Solo",IF(L481="","",L481),IF($B$1="MSolo",IF(O481="","",O481),IF($B$1="Duet",IF(R481="","",R481),IF($B$1="Mixed",IF(U481="","",U481),IF(X481="","",X481))))),IF($B$1="Solo",IF(L981="","",L981),IF($B$1="MSolo",IF(L981="","",L981),IF($B$1="Duet",IF(O981="","",O981),IF($B$1="Mixed",IF(R981="","",R981),IF(U981="","",U981))))))</f>
        <v>#N/A</v>
      </c>
      <c r="B482" s="3" t="e">
        <f>IF('Coach Card'!$T$5="",IF($B$1="Solo",IF(M481="","",M481),IF($B$1="MSolo",IF(P481="","",P481),IF($B$1="Duet",IF(S481="","",S481),IF($B$1="Mixed",IF(V481="","",V481),IF(Y481="","",Y481))))),IF($B$1="Solo",IF(M981="","",M981),IF($B$1="MSolo",IF(M981="","",M981),IF($B$1="Duet",IF(P981="","",P981),IF($B$1="Mixed",IF(S981="","",S981),IF(V981="","",V981))))))</f>
        <v>#N/A</v>
      </c>
      <c r="C482" s="3" t="e">
        <f>IF('Coach Card'!$T$5="",IF($B$1="Solo",IF(N481="","",N481),IF($B$1="MSolo",IF(Q481="","",Q481),IF($B$1="Duet",IF(T481="","",T481),IF($B$1="Mixed",IF(W481="","",W481),IF(Z481="","",Z481))))),IF($B$1="Solo",IF(N981="","",N981),IF($B$1="MSolo",IF(N981="","",N981),IF($B$1="Duet",IF(Q981="","",Q981),IF($B$1="Mixed",IF(T981="","",T981),IF(W981="","",W981))))))</f>
        <v>#N/A</v>
      </c>
      <c r="D482" s="3" t="e">
        <f>IF('Coach Card'!$T$5="",IF($D$1="Team",IF(AG481="","",AG481),""),IF($D$1="Team",IF(AD981="","",AD981),""))</f>
        <v>#N/A</v>
      </c>
      <c r="E482" s="3" t="e">
        <f>IF('Coach Card'!$T$5="",IF($D$1="Team",IF(AH481="","",AH481),""),IF($D$1="Team",IF(AE981="","",AE981),""))</f>
        <v>#N/A</v>
      </c>
      <c r="X482" s="1" t="s">
        <v>625</v>
      </c>
      <c r="Y482" t="s">
        <v>2303</v>
      </c>
      <c r="Z482" s="3">
        <v>0.375</v>
      </c>
      <c r="AK482" t="s">
        <v>2297</v>
      </c>
      <c r="AL482" t="s">
        <v>61</v>
      </c>
      <c r="AM482">
        <v>0.5</v>
      </c>
    </row>
    <row r="483" spans="1:39" x14ac:dyDescent="0.35">
      <c r="A483" s="6" t="e">
        <f>IF('Coach Card'!$T$5="",IF($B$1="Solo",IF(L482="","",L482),IF($B$1="MSolo",IF(O482="","",O482),IF($B$1="Duet",IF(R482="","",R482),IF($B$1="Mixed",IF(U482="","",U482),IF(X482="","",X482))))),IF($B$1="Solo",IF(L982="","",L982),IF($B$1="MSolo",IF(L982="","",L982),IF($B$1="Duet",IF(O982="","",O982),IF($B$1="Mixed",IF(R982="","",R982),IF(U982="","",U982))))))</f>
        <v>#N/A</v>
      </c>
      <c r="B483" s="3" t="e">
        <f>IF('Coach Card'!$T$5="",IF($B$1="Solo",IF(M482="","",M482),IF($B$1="MSolo",IF(P482="","",P482),IF($B$1="Duet",IF(S482="","",S482),IF($B$1="Mixed",IF(V482="","",V482),IF(Y482="","",Y482))))),IF($B$1="Solo",IF(M982="","",M982),IF($B$1="MSolo",IF(M982="","",M982),IF($B$1="Duet",IF(P982="","",P982),IF($B$1="Mixed",IF(S982="","",S982),IF(V982="","",V982))))))</f>
        <v>#N/A</v>
      </c>
      <c r="C483" s="3" t="e">
        <f>IF('Coach Card'!$T$5="",IF($B$1="Solo",IF(N482="","",N482),IF($B$1="MSolo",IF(Q482="","",Q482),IF($B$1="Duet",IF(T482="","",T482),IF($B$1="Mixed",IF(W482="","",W482),IF(Z482="","",Z482))))),IF($B$1="Solo",IF(N982="","",N982),IF($B$1="MSolo",IF(N982="","",N982),IF($B$1="Duet",IF(Q982="","",Q982),IF($B$1="Mixed",IF(T982="","",T982),IF(W982="","",W982))))))</f>
        <v>#N/A</v>
      </c>
      <c r="D483" s="3" t="e">
        <f>IF('Coach Card'!$T$5="",IF($D$1="Team",IF(AG482="","",AG482),""),IF($D$1="Team",IF(AD982="","",AD982),""))</f>
        <v>#N/A</v>
      </c>
      <c r="E483" s="3" t="e">
        <f>IF('Coach Card'!$T$5="",IF($D$1="Team",IF(AH482="","",AH482),""),IF($D$1="Team",IF(AE982="","",AE982),""))</f>
        <v>#N/A</v>
      </c>
      <c r="X483" s="1" t="s">
        <v>625</v>
      </c>
      <c r="Y483" t="s">
        <v>2304</v>
      </c>
      <c r="Z483" s="3">
        <v>0.40500000000000003</v>
      </c>
      <c r="AK483" t="s">
        <v>2298</v>
      </c>
      <c r="AL483" t="s">
        <v>627</v>
      </c>
      <c r="AM483">
        <v>0.5</v>
      </c>
    </row>
    <row r="484" spans="1:39" x14ac:dyDescent="0.35">
      <c r="A484" s="6" t="e">
        <f>IF('Coach Card'!$T$5="",IF($B$1="Solo",IF(L483="","",L483),IF($B$1="MSolo",IF(O483="","",O483),IF($B$1="Duet",IF(R483="","",R483),IF($B$1="Mixed",IF(U483="","",U483),IF(X483="","",X483))))),IF($B$1="Solo",IF(L983="","",L983),IF($B$1="MSolo",IF(L983="","",L983),IF($B$1="Duet",IF(O983="","",O983),IF($B$1="Mixed",IF(R983="","",R983),IF(U983="","",U983))))))</f>
        <v>#N/A</v>
      </c>
      <c r="B484" s="3" t="e">
        <f>IF('Coach Card'!$T$5="",IF($B$1="Solo",IF(M483="","",M483),IF($B$1="MSolo",IF(P483="","",P483),IF($B$1="Duet",IF(S483="","",S483),IF($B$1="Mixed",IF(V483="","",V483),IF(Y483="","",Y483))))),IF($B$1="Solo",IF(M983="","",M983),IF($B$1="MSolo",IF(M983="","",M983),IF($B$1="Duet",IF(P983="","",P983),IF($B$1="Mixed",IF(S983="","",S983),IF(V983="","",V983))))))</f>
        <v>#N/A</v>
      </c>
      <c r="C484" s="3" t="e">
        <f>IF('Coach Card'!$T$5="",IF($B$1="Solo",IF(N483="","",N483),IF($B$1="MSolo",IF(Q483="","",Q483),IF($B$1="Duet",IF(T483="","",T483),IF($B$1="Mixed",IF(W483="","",W483),IF(Z483="","",Z483))))),IF($B$1="Solo",IF(N983="","",N983),IF($B$1="MSolo",IF(N983="","",N983),IF($B$1="Duet",IF(Q983="","",Q983),IF($B$1="Mixed",IF(T983="","",T983),IF(W983="","",W983))))))</f>
        <v>#N/A</v>
      </c>
      <c r="D484" s="3" t="e">
        <f>IF('Coach Card'!$T$5="",IF($D$1="Team",IF(AG483="","",AG483),""),IF($D$1="Team",IF(AD983="","",AD983),""))</f>
        <v>#N/A</v>
      </c>
      <c r="E484" s="3" t="e">
        <f>IF('Coach Card'!$T$5="",IF($D$1="Team",IF(AH483="","",AH483),""),IF($D$1="Team",IF(AE983="","",AE983),""))</f>
        <v>#N/A</v>
      </c>
      <c r="X484" s="1" t="s">
        <v>625</v>
      </c>
      <c r="Y484" t="s">
        <v>2305</v>
      </c>
      <c r="Z484" s="3">
        <v>0.44999999999999996</v>
      </c>
      <c r="AK484" t="s">
        <v>2299</v>
      </c>
      <c r="AL484" t="s">
        <v>62</v>
      </c>
      <c r="AM484">
        <v>0.5</v>
      </c>
    </row>
    <row r="485" spans="1:39" x14ac:dyDescent="0.35">
      <c r="A485" s="6" t="e">
        <f>IF('Coach Card'!$T$5="",IF($B$1="Solo",IF(L484="","",L484),IF($B$1="MSolo",IF(O484="","",O484),IF($B$1="Duet",IF(R484="","",R484),IF($B$1="Mixed",IF(U484="","",U484),IF(X484="","",X484))))),IF($B$1="Solo",IF(L984="","",L984),IF($B$1="MSolo",IF(L984="","",L984),IF($B$1="Duet",IF(O984="","",O984),IF($B$1="Mixed",IF(R984="","",R984),IF(U984="","",U984))))))</f>
        <v>#N/A</v>
      </c>
      <c r="B485" s="3" t="e">
        <f>IF('Coach Card'!$T$5="",IF($B$1="Solo",IF(M484="","",M484),IF($B$1="MSolo",IF(P484="","",P484),IF($B$1="Duet",IF(S484="","",S484),IF($B$1="Mixed",IF(V484="","",V484),IF(Y484="","",Y484))))),IF($B$1="Solo",IF(M984="","",M984),IF($B$1="MSolo",IF(M984="","",M984),IF($B$1="Duet",IF(P984="","",P984),IF($B$1="Mixed",IF(S984="","",S984),IF(V984="","",V984))))))</f>
        <v>#N/A</v>
      </c>
      <c r="C485" s="3" t="e">
        <f>IF('Coach Card'!$T$5="",IF($B$1="Solo",IF(N484="","",N484),IF($B$1="MSolo",IF(Q484="","",Q484),IF($B$1="Duet",IF(T484="","",T484),IF($B$1="Mixed",IF(W484="","",W484),IF(Z484="","",Z484))))),IF($B$1="Solo",IF(N984="","",N984),IF($B$1="MSolo",IF(N984="","",N984),IF($B$1="Duet",IF(Q984="","",Q984),IF($B$1="Mixed",IF(T984="","",T984),IF(W984="","",W984))))))</f>
        <v>#N/A</v>
      </c>
      <c r="D485" s="3" t="e">
        <f>IF('Coach Card'!$T$5="",IF($D$1="Team",IF(AG484="","",AG484),""),IF($D$1="Team",IF(AD984="","",AD984),""))</f>
        <v>#N/A</v>
      </c>
      <c r="E485" s="3" t="e">
        <f>IF('Coach Card'!$T$5="",IF($D$1="Team",IF(AH484="","",AH484),""),IF($D$1="Team",IF(AE984="","",AE984),""))</f>
        <v>#N/A</v>
      </c>
      <c r="X485" s="1" t="s">
        <v>625</v>
      </c>
      <c r="Y485" t="s">
        <v>2306</v>
      </c>
      <c r="Z485" s="3">
        <v>0.48</v>
      </c>
      <c r="AK485" t="s">
        <v>2300</v>
      </c>
      <c r="AL485" t="s">
        <v>628</v>
      </c>
      <c r="AM485">
        <v>0.5</v>
      </c>
    </row>
    <row r="486" spans="1:39" x14ac:dyDescent="0.35">
      <c r="A486" s="6" t="e">
        <f>IF('Coach Card'!$T$5="",IF($B$1="Solo",IF(L485="","",L485),IF($B$1="MSolo",IF(O485="","",O485),IF($B$1="Duet",IF(R485="","",R485),IF($B$1="Mixed",IF(U485="","",U485),IF(X485="","",X485))))),IF($B$1="Solo",IF(L985="","",L985),IF($B$1="MSolo",IF(L985="","",L985),IF($B$1="Duet",IF(O985="","",O985),IF($B$1="Mixed",IF(R985="","",R985),IF(U985="","",U985))))))</f>
        <v>#N/A</v>
      </c>
      <c r="B486" s="3" t="e">
        <f>IF('Coach Card'!$T$5="",IF($B$1="Solo",IF(M485="","",M485),IF($B$1="MSolo",IF(P485="","",P485),IF($B$1="Duet",IF(S485="","",S485),IF($B$1="Mixed",IF(V485="","",V485),IF(Y485="","",Y485))))),IF($B$1="Solo",IF(M985="","",M985),IF($B$1="MSolo",IF(M985="","",M985),IF($B$1="Duet",IF(P985="","",P985),IF($B$1="Mixed",IF(S985="","",S985),IF(V985="","",V985))))))</f>
        <v>#N/A</v>
      </c>
      <c r="C486" s="3" t="e">
        <f>IF('Coach Card'!$T$5="",IF($B$1="Solo",IF(N485="","",N485),IF($B$1="MSolo",IF(Q485="","",Q485),IF($B$1="Duet",IF(T485="","",T485),IF($B$1="Mixed",IF(W485="","",W485),IF(Z485="","",Z485))))),IF($B$1="Solo",IF(N985="","",N985),IF($B$1="MSolo",IF(N985="","",N985),IF($B$1="Duet",IF(Q985="","",Q985),IF($B$1="Mixed",IF(T985="","",T985),IF(W985="","",W985))))))</f>
        <v>#N/A</v>
      </c>
      <c r="D486" s="3" t="e">
        <f>IF('Coach Card'!$T$5="",IF($D$1="Team",IF(AG485="","",AG485),""),IF($D$1="Team",IF(AD985="","",AD985),""))</f>
        <v>#N/A</v>
      </c>
      <c r="E486" s="3" t="e">
        <f>IF('Coach Card'!$T$5="",IF($D$1="Team",IF(AH485="","",AH485),""),IF($D$1="Team",IF(AE985="","",AE985),""))</f>
        <v>#N/A</v>
      </c>
      <c r="AK486" t="s">
        <v>2301</v>
      </c>
      <c r="AL486" t="s">
        <v>1844</v>
      </c>
      <c r="AM486">
        <v>0.5</v>
      </c>
    </row>
    <row r="487" spans="1:39" x14ac:dyDescent="0.35">
      <c r="A487" s="6" t="e">
        <f>IF('Coach Card'!$T$5="",IF($B$1="Solo",IF(L486="","",L486),IF($B$1="MSolo",IF(O486="","",O486),IF($B$1="Duet",IF(R486="","",R486),IF($B$1="Mixed",IF(U486="","",U486),IF(X486="","",X486))))),IF($B$1="Solo",IF(L986="","",L986),IF($B$1="MSolo",IF(L986="","",L986),IF($B$1="Duet",IF(O986="","",O986),IF($B$1="Mixed",IF(R986="","",R986),IF(U986="","",U986))))))</f>
        <v>#N/A</v>
      </c>
      <c r="B487" s="3" t="e">
        <f>IF('Coach Card'!$T$5="",IF($B$1="Solo",IF(M486="","",M486),IF($B$1="MSolo",IF(P486="","",P486),IF($B$1="Duet",IF(S486="","",S486),IF($B$1="Mixed",IF(V486="","",V486),IF(Y486="","",Y486))))),IF($B$1="Solo",IF(M986="","",M986),IF($B$1="MSolo",IF(M986="","",M986),IF($B$1="Duet",IF(P986="","",P986),IF($B$1="Mixed",IF(S986="","",S986),IF(V986="","",V986))))))</f>
        <v>#N/A</v>
      </c>
      <c r="C487" s="3" t="e">
        <f>IF('Coach Card'!$T$5="",IF($B$1="Solo",IF(N486="","",N486),IF($B$1="MSolo",IF(Q486="","",Q486),IF($B$1="Duet",IF(T486="","",T486),IF($B$1="Mixed",IF(W486="","",W486),IF(Z486="","",Z486))))),IF($B$1="Solo",IF(N986="","",N986),IF($B$1="MSolo",IF(N986="","",N986),IF($B$1="Duet",IF(Q986="","",Q986),IF($B$1="Mixed",IF(T986="","",T986),IF(W986="","",W986))))))</f>
        <v>#N/A</v>
      </c>
      <c r="D487" s="3" t="e">
        <f>IF('Coach Card'!$T$5="",IF($D$1="Team",IF(AG486="","",AG486),""),IF($D$1="Team",IF(AD986="","",AD986),""))</f>
        <v>#N/A</v>
      </c>
      <c r="E487" s="3" t="e">
        <f>IF('Coach Card'!$T$5="",IF($D$1="Team",IF(AH486="","",AH486),""),IF($D$1="Team",IF(AE986="","",AE986),""))</f>
        <v>#N/A</v>
      </c>
      <c r="AK487" t="s">
        <v>2302</v>
      </c>
      <c r="AL487" t="s">
        <v>1846</v>
      </c>
      <c r="AM487">
        <v>0.5</v>
      </c>
    </row>
    <row r="488" spans="1:39" x14ac:dyDescent="0.35">
      <c r="A488" s="6" t="e">
        <f>IF('Coach Card'!$T$5="",IF($B$1="Solo",IF(L487="","",L487),IF($B$1="MSolo",IF(O487="","",O487),IF($B$1="Duet",IF(R487="","",R487),IF($B$1="Mixed",IF(U487="","",U487),IF(X487="","",X487))))),IF($B$1="Solo",IF(L987="","",L987),IF($B$1="MSolo",IF(L987="","",L987),IF($B$1="Duet",IF(O987="","",O987),IF($B$1="Mixed",IF(R987="","",R987),IF(U987="","",U987))))))</f>
        <v>#N/A</v>
      </c>
      <c r="B488" s="3" t="e">
        <f>IF('Coach Card'!$T$5="",IF($B$1="Solo",IF(M487="","",M487),IF($B$1="MSolo",IF(P487="","",P487),IF($B$1="Duet",IF(S487="","",S487),IF($B$1="Mixed",IF(V487="","",V487),IF(Y487="","",Y487))))),IF($B$1="Solo",IF(M987="","",M987),IF($B$1="MSolo",IF(M987="","",M987),IF($B$1="Duet",IF(P987="","",P987),IF($B$1="Mixed",IF(S987="","",S987),IF(V987="","",V987))))))</f>
        <v>#N/A</v>
      </c>
      <c r="C488" s="3" t="e">
        <f>IF('Coach Card'!$T$5="",IF($B$1="Solo",IF(N487="","",N487),IF($B$1="MSolo",IF(Q487="","",Q487),IF($B$1="Duet",IF(T487="","",T487),IF($B$1="Mixed",IF(W487="","",W487),IF(Z487="","",Z487))))),IF($B$1="Solo",IF(N987="","",N987),IF($B$1="MSolo",IF(N987="","",N987),IF($B$1="Duet",IF(Q987="","",Q987),IF($B$1="Mixed",IF(T987="","",T987),IF(W987="","",W987))))))</f>
        <v>#N/A</v>
      </c>
      <c r="D488" s="3" t="e">
        <f>IF('Coach Card'!$T$5="",IF($D$1="Team",IF(AG487="","",AG487),""),IF($D$1="Team",IF(AD987="","",AD987),""))</f>
        <v>#N/A</v>
      </c>
      <c r="E488" s="3" t="e">
        <f>IF('Coach Card'!$T$5="",IF($D$1="Team",IF(AH487="","",AH487),""),IF($D$1="Team",IF(AE987="","",AE987),""))</f>
        <v>#N/A</v>
      </c>
      <c r="AK488" t="s">
        <v>2303</v>
      </c>
      <c r="AL488" t="s">
        <v>1845</v>
      </c>
      <c r="AM488">
        <v>0.5</v>
      </c>
    </row>
    <row r="489" spans="1:39" x14ac:dyDescent="0.35">
      <c r="A489" s="6" t="e">
        <f>IF('Coach Card'!$T$5="",IF($B$1="Solo",IF(L488="","",L488),IF($B$1="MSolo",IF(O488="","",O488),IF($B$1="Duet",IF(R488="","",R488),IF($B$1="Mixed",IF(U488="","",U488),IF(X488="","",X488))))),IF($B$1="Solo",IF(L988="","",L988),IF($B$1="MSolo",IF(L988="","",L988),IF($B$1="Duet",IF(O988="","",O988),IF($B$1="Mixed",IF(R988="","",R988),IF(U988="","",U988))))))</f>
        <v>#N/A</v>
      </c>
      <c r="B489" s="3" t="e">
        <f>IF('Coach Card'!$T$5="",IF($B$1="Solo",IF(M488="","",M488),IF($B$1="MSolo",IF(P488="","",P488),IF($B$1="Duet",IF(S488="","",S488),IF($B$1="Mixed",IF(V488="","",V488),IF(Y488="","",Y488))))),IF($B$1="Solo",IF(M988="","",M988),IF($B$1="MSolo",IF(M988="","",M988),IF($B$1="Duet",IF(P988="","",P988),IF($B$1="Mixed",IF(S988="","",S988),IF(V988="","",V988))))))</f>
        <v>#N/A</v>
      </c>
      <c r="C489" s="3" t="e">
        <f>IF('Coach Card'!$T$5="",IF($B$1="Solo",IF(N488="","",N488),IF($B$1="MSolo",IF(Q488="","",Q488),IF($B$1="Duet",IF(T488="","",T488),IF($B$1="Mixed",IF(W488="","",W488),IF(Z488="","",Z488))))),IF($B$1="Solo",IF(N988="","",N988),IF($B$1="MSolo",IF(N988="","",N988),IF($B$1="Duet",IF(Q988="","",Q988),IF($B$1="Mixed",IF(T988="","",T988),IF(W988="","",W988))))))</f>
        <v>#N/A</v>
      </c>
      <c r="D489" s="3" t="e">
        <f>IF('Coach Card'!$T$5="",IF($D$1="Team",IF(AG488="","",AG488),""),IF($D$1="Team",IF(AD988="","",AD988),""))</f>
        <v>#N/A</v>
      </c>
      <c r="E489" s="3" t="e">
        <f>IF('Coach Card'!$T$5="",IF($D$1="Team",IF(AH488="","",AH488),""),IF($D$1="Team",IF(AE988="","",AE988),""))</f>
        <v>#N/A</v>
      </c>
      <c r="AK489" t="s">
        <v>2304</v>
      </c>
      <c r="AL489" t="s">
        <v>1847</v>
      </c>
      <c r="AM489">
        <v>0.5</v>
      </c>
    </row>
    <row r="490" spans="1:39" x14ac:dyDescent="0.35">
      <c r="A490" s="6" t="e">
        <f>IF('Coach Card'!$T$5="",IF($B$1="Solo",IF(L489="","",L489),IF($B$1="MSolo",IF(O489="","",O489),IF($B$1="Duet",IF(R489="","",R489),IF($B$1="Mixed",IF(U489="","",U489),IF(X489="","",X489))))),IF($B$1="Solo",IF(L989="","",L989),IF($B$1="MSolo",IF(L989="","",L989),IF($B$1="Duet",IF(O989="","",O989),IF($B$1="Mixed",IF(R989="","",R989),IF(U989="","",U989))))))</f>
        <v>#N/A</v>
      </c>
      <c r="B490" s="3" t="e">
        <f>IF('Coach Card'!$T$5="",IF($B$1="Solo",IF(M489="","",M489),IF($B$1="MSolo",IF(P489="","",P489),IF($B$1="Duet",IF(S489="","",S489),IF($B$1="Mixed",IF(V489="","",V489),IF(Y489="","",Y489))))),IF($B$1="Solo",IF(M989="","",M989),IF($B$1="MSolo",IF(M989="","",M989),IF($B$1="Duet",IF(P989="","",P989),IF($B$1="Mixed",IF(S989="","",S989),IF(V989="","",V989))))))</f>
        <v>#N/A</v>
      </c>
      <c r="C490" s="3" t="e">
        <f>IF('Coach Card'!$T$5="",IF($B$1="Solo",IF(N489="","",N489),IF($B$1="MSolo",IF(Q489="","",Q489),IF($B$1="Duet",IF(T489="","",T489),IF($B$1="Mixed",IF(W489="","",W489),IF(Z489="","",Z489))))),IF($B$1="Solo",IF(N989="","",N989),IF($B$1="MSolo",IF(N989="","",N989),IF($B$1="Duet",IF(Q989="","",Q989),IF($B$1="Mixed",IF(T989="","",T989),IF(W989="","",W989))))))</f>
        <v>#N/A</v>
      </c>
      <c r="D490" s="3" t="e">
        <f>IF('Coach Card'!$T$5="",IF($D$1="Team",IF(AG489="","",AG489),""),IF($D$1="Team",IF(AD989="","",AD989),""))</f>
        <v>#N/A</v>
      </c>
      <c r="E490" s="3" t="e">
        <f>IF('Coach Card'!$T$5="",IF($D$1="Team",IF(AH489="","",AH489),""),IF($D$1="Team",IF(AE989="","",AE989),""))</f>
        <v>#N/A</v>
      </c>
      <c r="AK490" t="s">
        <v>2305</v>
      </c>
      <c r="AL490" t="s">
        <v>1704</v>
      </c>
      <c r="AM490">
        <v>0.5</v>
      </c>
    </row>
    <row r="491" spans="1:39" x14ac:dyDescent="0.35">
      <c r="A491" s="6" t="e">
        <f>IF('Coach Card'!$T$5="",IF($B$1="Solo",IF(L490="","",L490),IF($B$1="MSolo",IF(O490="","",O490),IF($B$1="Duet",IF(R490="","",R490),IF($B$1="Mixed",IF(U490="","",U490),IF(X490="","",X490))))),IF($B$1="Solo",IF(L990="","",L990),IF($B$1="MSolo",IF(L990="","",L990),IF($B$1="Duet",IF(O990="","",O990),IF($B$1="Mixed",IF(R990="","",R990),IF(U990="","",U990))))))</f>
        <v>#N/A</v>
      </c>
      <c r="B491" s="3" t="e">
        <f>IF('Coach Card'!$T$5="",IF($B$1="Solo",IF(M490="","",M490),IF($B$1="MSolo",IF(P490="","",P490),IF($B$1="Duet",IF(S490="","",S490),IF($B$1="Mixed",IF(V490="","",V490),IF(Y490="","",Y490))))),IF($B$1="Solo",IF(M990="","",M990),IF($B$1="MSolo",IF(M990="","",M990),IF($B$1="Duet",IF(P990="","",P990),IF($B$1="Mixed",IF(S990="","",S990),IF(V990="","",V990))))))</f>
        <v>#N/A</v>
      </c>
      <c r="C491" s="3" t="e">
        <f>IF('Coach Card'!$T$5="",IF($B$1="Solo",IF(N490="","",N490),IF($B$1="MSolo",IF(Q490="","",Q490),IF($B$1="Duet",IF(T490="","",T490),IF($B$1="Mixed",IF(W490="","",W490),IF(Z490="","",Z490))))),IF($B$1="Solo",IF(N990="","",N990),IF($B$1="MSolo",IF(N990="","",N990),IF($B$1="Duet",IF(Q990="","",Q990),IF($B$1="Mixed",IF(T990="","",T990),IF(W990="","",W990))))))</f>
        <v>#N/A</v>
      </c>
      <c r="D491" s="3" t="e">
        <f>IF('Coach Card'!$T$5="",IF($D$1="Team",IF(AG490="","",AG490),""),IF($D$1="Team",IF(AD990="","",AD990),""))</f>
        <v>#N/A</v>
      </c>
      <c r="E491" s="3" t="e">
        <f>IF('Coach Card'!$T$5="",IF($D$1="Team",IF(AH490="","",AH490),""),IF($D$1="Team",IF(AE990="","",AE990),""))</f>
        <v>#N/A</v>
      </c>
      <c r="AK491" t="s">
        <v>2306</v>
      </c>
      <c r="AL491" t="s">
        <v>1705</v>
      </c>
      <c r="AM491">
        <v>0.5</v>
      </c>
    </row>
    <row r="492" spans="1:39" x14ac:dyDescent="0.35">
      <c r="A492" s="6" t="e">
        <f>IF('Coach Card'!$T$5="",IF($B$1="Solo",IF(L491="","",L491),IF($B$1="MSolo",IF(O491="","",O491),IF($B$1="Duet",IF(R491="","",R491),IF($B$1="Mixed",IF(U491="","",U491),IF(X491="","",X491))))),IF($B$1="Solo",IF(L991="","",L991),IF($B$1="MSolo",IF(L991="","",L991),IF($B$1="Duet",IF(O991="","",O991),IF($B$1="Mixed",IF(R991="","",R991),IF(U991="","",U991))))))</f>
        <v>#N/A</v>
      </c>
      <c r="B492" s="3" t="e">
        <f>IF('Coach Card'!$T$5="",IF($B$1="Solo",IF(M491="","",M491),IF($B$1="MSolo",IF(P491="","",P491),IF($B$1="Duet",IF(S491="","",S491),IF($B$1="Mixed",IF(V491="","",V491),IF(Y491="","",Y491))))),IF($B$1="Solo",IF(M991="","",M991),IF($B$1="MSolo",IF(M991="","",M991),IF($B$1="Duet",IF(P991="","",P991),IF($B$1="Mixed",IF(S991="","",S991),IF(V991="","",V991))))))</f>
        <v>#N/A</v>
      </c>
      <c r="C492" s="3" t="e">
        <f>IF('Coach Card'!$T$5="",IF($B$1="Solo",IF(N491="","",N491),IF($B$1="MSolo",IF(Q491="","",Q491),IF($B$1="Duet",IF(T491="","",T491),IF($B$1="Mixed",IF(W491="","",W491),IF(Z491="","",Z491))))),IF($B$1="Solo",IF(N991="","",N991),IF($B$1="MSolo",IF(N991="","",N991),IF($B$1="Duet",IF(Q991="","",Q991),IF($B$1="Mixed",IF(T991="","",T991),IF(W991="","",W991))))))</f>
        <v>#N/A</v>
      </c>
      <c r="D492" s="3" t="e">
        <f>IF('Coach Card'!$T$5="",IF($D$1="Team",IF(AG491="","",AG491),""),IF($D$1="Team",IF(AD991="","",AD991),""))</f>
        <v>#N/A</v>
      </c>
      <c r="E492" s="3" t="e">
        <f>IF('Coach Card'!$T$5="",IF($D$1="Team",IF(AH491="","",AH491),""),IF($D$1="Team",IF(AE991="","",AE991),""))</f>
        <v>#N/A</v>
      </c>
    </row>
    <row r="493" spans="1:39" x14ac:dyDescent="0.35">
      <c r="A493" s="6" t="e">
        <f>IF('Coach Card'!$T$5="",IF($B$1="Solo",IF(L492="","",L492),IF($B$1="MSolo",IF(O492="","",O492),IF($B$1="Duet",IF(R492="","",R492),IF($B$1="Mixed",IF(U492="","",U492),IF(X492="","",X492))))),IF($B$1="Solo",IF(L992="","",L992),IF($B$1="MSolo",IF(L992="","",L992),IF($B$1="Duet",IF(O992="","",O992),IF($B$1="Mixed",IF(R992="","",R992),IF(U992="","",U992))))))</f>
        <v>#N/A</v>
      </c>
      <c r="B493" s="3" t="e">
        <f>IF('Coach Card'!$T$5="",IF($B$1="Solo",IF(M492="","",M492),IF($B$1="MSolo",IF(P492="","",P492),IF($B$1="Duet",IF(S492="","",S492),IF($B$1="Mixed",IF(V492="","",V492),IF(Y492="","",Y492))))),IF($B$1="Solo",IF(M992="","",M992),IF($B$1="MSolo",IF(M992="","",M992),IF($B$1="Duet",IF(P992="","",P992),IF($B$1="Mixed",IF(S992="","",S992),IF(V992="","",V992))))))</f>
        <v>#N/A</v>
      </c>
      <c r="C493" s="3" t="e">
        <f>IF('Coach Card'!$T$5="",IF($B$1="Solo",IF(N492="","",N492),IF($B$1="MSolo",IF(Q492="","",Q492),IF($B$1="Duet",IF(T492="","",T492),IF($B$1="Mixed",IF(W492="","",W492),IF(Z492="","",Z492))))),IF($B$1="Solo",IF(N992="","",N992),IF($B$1="MSolo",IF(N992="","",N992),IF($B$1="Duet",IF(Q992="","",Q992),IF($B$1="Mixed",IF(T992="","",T992),IF(W992="","",W992))))))</f>
        <v>#N/A</v>
      </c>
      <c r="D493" s="3" t="e">
        <f>IF('Coach Card'!$T$5="",IF($D$1="Team",IF(AG492="","",AG492),""),IF($D$1="Team",IF(AD992="","",AD992),""))</f>
        <v>#N/A</v>
      </c>
      <c r="E493" s="3" t="e">
        <f>IF('Coach Card'!$T$5="",IF($D$1="Team",IF(AH492="","",AH492),""),IF($D$1="Team",IF(AE992="","",AE992),""))</f>
        <v>#N/A</v>
      </c>
    </row>
    <row r="494" spans="1:39" x14ac:dyDescent="0.35">
      <c r="A494" s="6" t="e">
        <f>IF('Coach Card'!$T$5="",IF($B$1="Solo",IF(L493="","",L493),IF($B$1="MSolo",IF(O493="","",O493),IF($B$1="Duet",IF(R493="","",R493),IF($B$1="Mixed",IF(U493="","",U493),IF(X493="","",X493))))),IF($B$1="Solo",IF(L993="","",L993),IF($B$1="MSolo",IF(L993="","",L993),IF($B$1="Duet",IF(O993="","",O993),IF($B$1="Mixed",IF(R993="","",R993),IF(U993="","",U993))))))</f>
        <v>#N/A</v>
      </c>
      <c r="B494" s="3" t="e">
        <f>IF('Coach Card'!$T$5="",IF($B$1="Solo",IF(M493="","",M493),IF($B$1="MSolo",IF(P493="","",P493),IF($B$1="Duet",IF(S493="","",S493),IF($B$1="Mixed",IF(V493="","",V493),IF(Y493="","",Y493))))),IF($B$1="Solo",IF(M993="","",M993),IF($B$1="MSolo",IF(M993="","",M993),IF($B$1="Duet",IF(P993="","",P993),IF($B$1="Mixed",IF(S993="","",S993),IF(V993="","",V993))))))</f>
        <v>#N/A</v>
      </c>
      <c r="C494" s="3" t="e">
        <f>IF('Coach Card'!$T$5="",IF($B$1="Solo",IF(N493="","",N493),IF($B$1="MSolo",IF(Q493="","",Q493),IF($B$1="Duet",IF(T493="","",T493),IF($B$1="Mixed",IF(W493="","",W493),IF(Z493="","",Z493))))),IF($B$1="Solo",IF(N993="","",N993),IF($B$1="MSolo",IF(N993="","",N993),IF($B$1="Duet",IF(Q993="","",Q993),IF($B$1="Mixed",IF(T993="","",T993),IF(W993="","",W993))))))</f>
        <v>#N/A</v>
      </c>
      <c r="D494" s="3" t="e">
        <f>IF('Coach Card'!$T$5="",IF($D$1="Team",IF(AG493="","",AG493),""),IF($D$1="Team",IF(AD993="","",AD993),""))</f>
        <v>#N/A</v>
      </c>
      <c r="E494" s="3" t="e">
        <f>IF('Coach Card'!$T$5="",IF($D$1="Team",IF(AH493="","",AH493),""),IF($D$1="Team",IF(AE993="","",AE993),""))</f>
        <v>#N/A</v>
      </c>
    </row>
    <row r="495" spans="1:39" x14ac:dyDescent="0.35">
      <c r="A495" s="6" t="e">
        <f>IF('Coach Card'!$T$5="",IF($B$1="Solo",IF(L494="","",L494),IF($B$1="MSolo",IF(O494="","",O494),IF($B$1="Duet",IF(R494="","",R494),IF($B$1="Mixed",IF(U494="","",U494),IF(X494="","",X494))))),IF($B$1="Solo",IF(L994="","",L994),IF($B$1="MSolo",IF(L994="","",L994),IF($B$1="Duet",IF(O994="","",O994),IF($B$1="Mixed",IF(R994="","",R994),IF(U994="","",U994))))))</f>
        <v>#N/A</v>
      </c>
      <c r="B495" s="3" t="e">
        <f>IF('Coach Card'!$T$5="",IF($B$1="Solo",IF(M494="","",M494),IF($B$1="MSolo",IF(P494="","",P494),IF($B$1="Duet",IF(S494="","",S494),IF($B$1="Mixed",IF(V494="","",V494),IF(Y494="","",Y494))))),IF($B$1="Solo",IF(M994="","",M994),IF($B$1="MSolo",IF(M994="","",M994),IF($B$1="Duet",IF(P994="","",P994),IF($B$1="Mixed",IF(S994="","",S994),IF(V994="","",V994))))))</f>
        <v>#N/A</v>
      </c>
      <c r="C495" s="3" t="e">
        <f>IF('Coach Card'!$T$5="",IF($B$1="Solo",IF(N494="","",N494),IF($B$1="MSolo",IF(Q494="","",Q494),IF($B$1="Duet",IF(T494="","",T494),IF($B$1="Mixed",IF(W494="","",W494),IF(Z494="","",Z494))))),IF($B$1="Solo",IF(N994="","",N994),IF($B$1="MSolo",IF(N994="","",N994),IF($B$1="Duet",IF(Q994="","",Q994),IF($B$1="Mixed",IF(T994="","",T994),IF(W994="","",W994))))))</f>
        <v>#N/A</v>
      </c>
      <c r="D495" s="3" t="e">
        <f>IF('Coach Card'!$T$5="",IF($D$1="Team",IF(AG494="","",AG494),""),IF($D$1="Team",IF(AD994="","",AD994),""))</f>
        <v>#N/A</v>
      </c>
      <c r="E495" s="3" t="e">
        <f>IF('Coach Card'!$T$5="",IF($D$1="Team",IF(AH494="","",AH494),""),IF($D$1="Team",IF(AE994="","",AE994),""))</f>
        <v>#N/A</v>
      </c>
    </row>
    <row r="496" spans="1:39" x14ac:dyDescent="0.35">
      <c r="A496" s="6" t="e">
        <f>IF('Coach Card'!$T$5="",IF($B$1="Solo",IF(L495="","",L495),IF($B$1="MSolo",IF(O495="","",O495),IF($B$1="Duet",IF(R495="","",R495),IF($B$1="Mixed",IF(U495="","",U495),IF(X495="","",X495))))),IF($B$1="Solo",IF(L995="","",L995),IF($B$1="MSolo",IF(L995="","",L995),IF($B$1="Duet",IF(O995="","",O995),IF($B$1="Mixed",IF(R995="","",R995),IF(U995="","",U995))))))</f>
        <v>#N/A</v>
      </c>
      <c r="B496" s="3" t="e">
        <f>IF('Coach Card'!$T$5="",IF($B$1="Solo",IF(M495="","",M495),IF($B$1="MSolo",IF(P495="","",P495),IF($B$1="Duet",IF(S495="","",S495),IF($B$1="Mixed",IF(V495="","",V495),IF(Y495="","",Y495))))),IF($B$1="Solo",IF(M995="","",M995),IF($B$1="MSolo",IF(M995="","",M995),IF($B$1="Duet",IF(P995="","",P995),IF($B$1="Mixed",IF(S995="","",S995),IF(V995="","",V995))))))</f>
        <v>#N/A</v>
      </c>
      <c r="C496" s="3" t="e">
        <f>IF('Coach Card'!$T$5="",IF($B$1="Solo",IF(N495="","",N495),IF($B$1="MSolo",IF(Q495="","",Q495),IF($B$1="Duet",IF(T495="","",T495),IF($B$1="Mixed",IF(W495="","",W495),IF(Z495="","",Z495))))),IF($B$1="Solo",IF(N995="","",N995),IF($B$1="MSolo",IF(N995="","",N995),IF($B$1="Duet",IF(Q995="","",Q995),IF($B$1="Mixed",IF(T995="","",T995),IF(W995="","",W995))))))</f>
        <v>#N/A</v>
      </c>
      <c r="D496" s="3" t="e">
        <f>IF('Coach Card'!$T$5="",IF($D$1="Team",IF(AG495="","",AG495),""),IF($D$1="Team",IF(AD995="","",AD995),""))</f>
        <v>#N/A</v>
      </c>
      <c r="E496" s="3" t="e">
        <f>IF('Coach Card'!$T$5="",IF($D$1="Team",IF(AH495="","",AH495),""),IF($D$1="Team",IF(AE995="","",AE995),""))</f>
        <v>#N/A</v>
      </c>
    </row>
    <row r="497" spans="1:31" x14ac:dyDescent="0.35">
      <c r="A497" s="6" t="e">
        <f>IF('Coach Card'!$T$5="",IF($B$1="Solo",IF(L496="","",L496),IF($B$1="MSolo",IF(O496="","",O496),IF($B$1="Duet",IF(R496="","",R496),IF($B$1="Mixed",IF(U496="","",U496),IF(X496="","",X496))))),IF($B$1="Solo",IF(L996="","",L996),IF($B$1="MSolo",IF(L996="","",L996),IF($B$1="Duet",IF(O996="","",O996),IF($B$1="Mixed",IF(R996="","",R996),IF(U996="","",U996))))))</f>
        <v>#N/A</v>
      </c>
      <c r="B497" s="3" t="e">
        <f>IF('Coach Card'!$T$5="",IF($B$1="Solo",IF(M496="","",M496),IF($B$1="MSolo",IF(P496="","",P496),IF($B$1="Duet",IF(S496="","",S496),IF($B$1="Mixed",IF(V496="","",V496),IF(Y496="","",Y496))))),IF($B$1="Solo",IF(M996="","",M996),IF($B$1="MSolo",IF(M996="","",M996),IF($B$1="Duet",IF(P996="","",P996),IF($B$1="Mixed",IF(S996="","",S996),IF(V996="","",V996))))))</f>
        <v>#N/A</v>
      </c>
      <c r="C497" s="3" t="e">
        <f>IF('Coach Card'!$T$5="",IF($B$1="Solo",IF(N496="","",N496),IF($B$1="MSolo",IF(Q496="","",Q496),IF($B$1="Duet",IF(T496="","",T496),IF($B$1="Mixed",IF(W496="","",W496),IF(Z496="","",Z496))))),IF($B$1="Solo",IF(N996="","",N996),IF($B$1="MSolo",IF(N996="","",N996),IF($B$1="Duet",IF(Q996="","",Q996),IF($B$1="Mixed",IF(T996="","",T996),IF(W996="","",W996))))))</f>
        <v>#N/A</v>
      </c>
      <c r="D497" s="3" t="e">
        <f>IF('Coach Card'!$T$5="",IF($D$1="Team",IF(AG496="","",AG496),""),IF($D$1="Team",IF(AD996="","",AD996),""))</f>
        <v>#N/A</v>
      </c>
      <c r="E497" s="3" t="e">
        <f>IF('Coach Card'!$T$5="",IF($D$1="Team",IF(AH496="","",AH496),""),IF($D$1="Team",IF(AE996="","",AE996),""))</f>
        <v>#N/A</v>
      </c>
    </row>
    <row r="498" spans="1:31" x14ac:dyDescent="0.35">
      <c r="A498" s="6" t="e">
        <f>IF('Coach Card'!$T$5="",IF($B$1="Solo",IF(L497="","",L497),IF($B$1="MSolo",IF(O497="","",O497),IF($B$1="Duet",IF(R497="","",R497),IF($B$1="Mixed",IF(U497="","",U497),IF(X497="","",X497))))),IF($B$1="Solo",IF(L997="","",L997),IF($B$1="MSolo",IF(L997="","",L997),IF($B$1="Duet",IF(O997="","",O997),IF($B$1="Mixed",IF(R997="","",R997),IF(U997="","",U997))))))</f>
        <v>#N/A</v>
      </c>
      <c r="B498" s="3" t="e">
        <f>IF('Coach Card'!$T$5="",IF($B$1="Solo",IF(M497="","",M497),IF($B$1="MSolo",IF(P497="","",P497),IF($B$1="Duet",IF(S497="","",S497),IF($B$1="Mixed",IF(V497="","",V497),IF(Y497="","",Y497))))),IF($B$1="Solo",IF(M997="","",M997),IF($B$1="MSolo",IF(M997="","",M997),IF($B$1="Duet",IF(P997="","",P997),IF($B$1="Mixed",IF(S997="","",S997),IF(V997="","",V997))))))</f>
        <v>#N/A</v>
      </c>
      <c r="C498" s="3" t="e">
        <f>IF('Coach Card'!$T$5="",IF($B$1="Solo",IF(N497="","",N497),IF($B$1="MSolo",IF(Q497="","",Q497),IF($B$1="Duet",IF(T497="","",T497),IF($B$1="Mixed",IF(W497="","",W497),IF(Z497="","",Z497))))),IF($B$1="Solo",IF(N997="","",N997),IF($B$1="MSolo",IF(N997="","",N997),IF($B$1="Duet",IF(Q997="","",Q997),IF($B$1="Mixed",IF(T997="","",T997),IF(W997="","",W997))))))</f>
        <v>#N/A</v>
      </c>
      <c r="D498" s="3" t="e">
        <f>IF('Coach Card'!$T$5="",IF($D$1="Team",IF(AG497="","",AG497),""),IF($D$1="Team",IF(AD997="","",AD997),""))</f>
        <v>#N/A</v>
      </c>
      <c r="E498" s="3" t="e">
        <f>IF('Coach Card'!$T$5="",IF($D$1="Team",IF(AH497="","",AH497),""),IF($D$1="Team",IF(AE997="","",AE997),""))</f>
        <v>#N/A</v>
      </c>
    </row>
    <row r="499" spans="1:31" x14ac:dyDescent="0.35">
      <c r="A499" s="6" t="e">
        <f>IF('Coach Card'!$T$5="",IF($B$1="Solo",IF(L498="","",L498),IF($B$1="MSolo",IF(O498="","",O498),IF($B$1="Duet",IF(R498="","",R498),IF($B$1="Mixed",IF(U498="","",U498),IF(X498="","",X498))))),IF($B$1="Solo",IF(L998="","",L998),IF($B$1="MSolo",IF(L998="","",L998),IF($B$1="Duet",IF(O998="","",O998),IF($B$1="Mixed",IF(R998="","",R998),IF(U998="","",U998))))))</f>
        <v>#N/A</v>
      </c>
      <c r="B499" s="3" t="e">
        <f>IF('Coach Card'!$T$5="",IF($B$1="Solo",IF(M498="","",M498),IF($B$1="MSolo",IF(P498="","",P498),IF($B$1="Duet",IF(S498="","",S498),IF($B$1="Mixed",IF(V498="","",V498),IF(Y498="","",Y498))))),IF($B$1="Solo",IF(M998="","",M998),IF($B$1="MSolo",IF(M998="","",M998),IF($B$1="Duet",IF(P998="","",P998),IF($B$1="Mixed",IF(S998="","",S998),IF(V998="","",V998))))))</f>
        <v>#N/A</v>
      </c>
      <c r="C499" s="3" t="e">
        <f>IF('Coach Card'!$T$5="",IF($B$1="Solo",IF(N498="","",N498),IF($B$1="MSolo",IF(Q498="","",Q498),IF($B$1="Duet",IF(T498="","",T498),IF($B$1="Mixed",IF(W498="","",W498),IF(Z498="","",Z498))))),IF($B$1="Solo",IF(N998="","",N998),IF($B$1="MSolo",IF(N998="","",N998),IF($B$1="Duet",IF(Q998="","",Q998),IF($B$1="Mixed",IF(T998="","",T998),IF(W998="","",W998))))))</f>
        <v>#N/A</v>
      </c>
      <c r="D499" s="3" t="e">
        <f>IF('Coach Card'!$T$5="",IF($D$1="Team",IF(AG498="","",AG498),""),IF($D$1="Team",IF(AD998="","",AD998),""))</f>
        <v>#N/A</v>
      </c>
      <c r="E499" s="3" t="e">
        <f>IF('Coach Card'!$T$5="",IF($D$1="Team",IF(AH498="","",AH498),""),IF($D$1="Team",IF(AE998="","",AE998),""))</f>
        <v>#N/A</v>
      </c>
    </row>
    <row r="500" spans="1:31" x14ac:dyDescent="0.35">
      <c r="A500" s="6" t="e">
        <f>IF('Coach Card'!$T$5="",IF($B$1="Solo",IF(L499="","",L499),IF($B$1="MSolo",IF(O499="","",O499),IF($B$1="Duet",IF(R499="","",R499),IF($B$1="Mixed",IF(U499="","",U499),IF(X499="","",X499))))),IF($B$1="Solo",IF(L999="","",L999),IF($B$1="MSolo",IF(L999="","",L999),IF($B$1="Duet",IF(O999="","",O999),IF($B$1="Mixed",IF(R999="","",R999),IF(U999="","",U999))))))</f>
        <v>#N/A</v>
      </c>
      <c r="B500" s="3" t="e">
        <f>IF('Coach Card'!$T$5="",IF($B$1="Solo",IF(M499="","",M499),IF($B$1="MSolo",IF(P499="","",P499),IF($B$1="Duet",IF(S499="","",S499),IF($B$1="Mixed",IF(V499="","",V499),IF(Y499="","",Y499))))),IF($B$1="Solo",IF(M999="","",M999),IF($B$1="MSolo",IF(M999="","",M999),IF($B$1="Duet",IF(P999="","",P999),IF($B$1="Mixed",IF(S999="","",S999),IF(V999="","",V999))))))</f>
        <v>#N/A</v>
      </c>
      <c r="C500" s="3" t="e">
        <f>IF('Coach Card'!$T$5="",IF($B$1="Solo",IF(N499="","",N499),IF($B$1="MSolo",IF(Q499="","",Q499),IF($B$1="Duet",IF(T499="","",T499),IF($B$1="Mixed",IF(W499="","",W499),IF(Z499="","",Z499))))),IF($B$1="Solo",IF(N999="","",N999),IF($B$1="MSolo",IF(N999="","",N999),IF($B$1="Duet",IF(Q999="","",Q999),IF($B$1="Mixed",IF(T999="","",T999),IF(W999="","",W999))))))</f>
        <v>#N/A</v>
      </c>
      <c r="D500" s="3" t="e">
        <f>IF('Coach Card'!$T$5="",IF($D$1="Team",IF(AG499="","",AG499),""),IF($D$1="Team",IF(AD999="","",AD999),""))</f>
        <v>#N/A</v>
      </c>
      <c r="E500" s="3" t="e">
        <f>IF('Coach Card'!$T$5="",IF($D$1="Team",IF(AH499="","",AH499),""),IF($D$1="Team",IF(AE999="","",AE999),""))</f>
        <v>#N/A</v>
      </c>
    </row>
    <row r="501" spans="1:31" x14ac:dyDescent="0.35">
      <c r="L501" s="1"/>
      <c r="M501" s="403" t="s">
        <v>70</v>
      </c>
      <c r="N501" s="403"/>
      <c r="O501" s="1"/>
      <c r="P501" s="403" t="s">
        <v>71</v>
      </c>
      <c r="Q501" s="403"/>
      <c r="R501" s="1"/>
      <c r="S501" s="403" t="s">
        <v>72</v>
      </c>
      <c r="T501" s="403"/>
      <c r="U501" s="1"/>
      <c r="V501" s="403" t="s">
        <v>73</v>
      </c>
      <c r="W501" s="403"/>
      <c r="X501" s="403" t="s">
        <v>70</v>
      </c>
      <c r="Y501" s="403"/>
      <c r="Z501" s="403" t="s">
        <v>71</v>
      </c>
      <c r="AA501" s="403"/>
      <c r="AB501" s="403" t="s">
        <v>72</v>
      </c>
      <c r="AC501" s="403"/>
      <c r="AD501" s="403" t="s">
        <v>73</v>
      </c>
      <c r="AE501" s="403"/>
    </row>
    <row r="502" spans="1:31" x14ac:dyDescent="0.35">
      <c r="L502" s="1" t="s">
        <v>1848</v>
      </c>
      <c r="M502" t="s">
        <v>63</v>
      </c>
      <c r="N502" s="3" t="s">
        <v>64</v>
      </c>
      <c r="O502" s="1" t="s">
        <v>1848</v>
      </c>
      <c r="P502" t="s">
        <v>63</v>
      </c>
      <c r="Q502" s="3" t="s">
        <v>64</v>
      </c>
      <c r="R502" s="1" t="s">
        <v>1848</v>
      </c>
      <c r="S502" t="s">
        <v>63</v>
      </c>
      <c r="T502" s="3" t="s">
        <v>64</v>
      </c>
      <c r="U502" s="1" t="s">
        <v>1848</v>
      </c>
      <c r="V502" t="s">
        <v>63</v>
      </c>
      <c r="W502" s="3" t="s">
        <v>64</v>
      </c>
      <c r="X502" t="s">
        <v>65</v>
      </c>
      <c r="Y502" t="s">
        <v>66</v>
      </c>
      <c r="Z502" t="s">
        <v>65</v>
      </c>
      <c r="AA502" t="s">
        <v>66</v>
      </c>
      <c r="AB502" t="s">
        <v>65</v>
      </c>
      <c r="AC502" t="s">
        <v>66</v>
      </c>
      <c r="AD502" t="s">
        <v>65</v>
      </c>
      <c r="AE502" t="s">
        <v>66</v>
      </c>
    </row>
    <row r="503" spans="1:31" x14ac:dyDescent="0.35">
      <c r="L503" s="1" t="s">
        <v>1765</v>
      </c>
      <c r="M503" t="s">
        <v>1632</v>
      </c>
      <c r="N503" s="3">
        <v>0.3</v>
      </c>
      <c r="O503" s="1" t="s">
        <v>1765</v>
      </c>
      <c r="P503" t="s">
        <v>1632</v>
      </c>
      <c r="Q503" s="3">
        <v>0.3</v>
      </c>
      <c r="R503" s="1" t="s">
        <v>1765</v>
      </c>
      <c r="S503" t="s">
        <v>1632</v>
      </c>
      <c r="T503" s="3">
        <v>0.3</v>
      </c>
      <c r="U503" s="1" t="s">
        <v>1765</v>
      </c>
      <c r="V503" t="s">
        <v>1632</v>
      </c>
      <c r="W503" s="3">
        <v>0.3</v>
      </c>
      <c r="X503"/>
      <c r="Y503" s="3"/>
      <c r="Z503"/>
      <c r="AA503" s="3"/>
      <c r="AC503" s="3"/>
      <c r="AD503" t="s">
        <v>83</v>
      </c>
      <c r="AE503" s="3">
        <v>0.2</v>
      </c>
    </row>
    <row r="504" spans="1:31" x14ac:dyDescent="0.35">
      <c r="L504" s="1" t="s">
        <v>1765</v>
      </c>
      <c r="M504" t="s">
        <v>52</v>
      </c>
      <c r="N504" s="3">
        <v>0.45</v>
      </c>
      <c r="O504" s="1" t="s">
        <v>1765</v>
      </c>
      <c r="P504" t="s">
        <v>52</v>
      </c>
      <c r="Q504" s="3">
        <v>0.45</v>
      </c>
      <c r="R504" s="1" t="s">
        <v>1765</v>
      </c>
      <c r="S504" t="s">
        <v>52</v>
      </c>
      <c r="T504" s="3">
        <v>0.45</v>
      </c>
      <c r="U504" s="1" t="s">
        <v>1765</v>
      </c>
      <c r="V504" t="s">
        <v>52</v>
      </c>
      <c r="W504" s="3">
        <v>0.45</v>
      </c>
      <c r="X504"/>
      <c r="Y504" s="3"/>
      <c r="Z504"/>
      <c r="AA504" s="3"/>
      <c r="AC504" s="3"/>
      <c r="AD504" t="s">
        <v>84</v>
      </c>
      <c r="AE504" s="3">
        <v>0.4</v>
      </c>
    </row>
    <row r="505" spans="1:31" x14ac:dyDescent="0.35">
      <c r="L505" s="1" t="s">
        <v>1765</v>
      </c>
      <c r="M505" t="s">
        <v>1778</v>
      </c>
      <c r="N505" s="3">
        <v>0.5</v>
      </c>
      <c r="O505" s="1" t="s">
        <v>1765</v>
      </c>
      <c r="P505" t="s">
        <v>1778</v>
      </c>
      <c r="Q505" s="3">
        <v>0.5</v>
      </c>
      <c r="R505" s="1" t="s">
        <v>1765</v>
      </c>
      <c r="S505" t="s">
        <v>1778</v>
      </c>
      <c r="T505" s="3">
        <v>0.5</v>
      </c>
      <c r="U505" s="1" t="s">
        <v>1765</v>
      </c>
      <c r="V505" t="s">
        <v>1778</v>
      </c>
      <c r="W505" s="3">
        <v>0.5</v>
      </c>
      <c r="X505"/>
      <c r="Y505" s="3"/>
      <c r="Z505"/>
      <c r="AA505" s="3"/>
      <c r="AC505" s="3"/>
      <c r="AD505" t="s">
        <v>85</v>
      </c>
      <c r="AE505" s="3">
        <v>0.6</v>
      </c>
    </row>
    <row r="506" spans="1:31" x14ac:dyDescent="0.35">
      <c r="L506" s="1" t="s">
        <v>1765</v>
      </c>
      <c r="M506" t="s">
        <v>1779</v>
      </c>
      <c r="N506" s="3">
        <v>0.5</v>
      </c>
      <c r="O506" s="1" t="s">
        <v>1765</v>
      </c>
      <c r="P506" t="s">
        <v>1779</v>
      </c>
      <c r="Q506" s="3">
        <v>0.5</v>
      </c>
      <c r="R506" s="1" t="s">
        <v>1765</v>
      </c>
      <c r="S506" t="s">
        <v>1779</v>
      </c>
      <c r="T506" s="3">
        <v>0.5</v>
      </c>
      <c r="U506" s="1" t="s">
        <v>1765</v>
      </c>
      <c r="V506" t="s">
        <v>1779</v>
      </c>
      <c r="W506" s="3">
        <v>0.5</v>
      </c>
      <c r="X506"/>
      <c r="Y506" s="3"/>
      <c r="Z506"/>
      <c r="AA506" s="3"/>
      <c r="AC506" s="3"/>
      <c r="AD506" t="s">
        <v>86</v>
      </c>
      <c r="AE506" s="3">
        <v>0.8</v>
      </c>
    </row>
    <row r="507" spans="1:31" x14ac:dyDescent="0.35">
      <c r="L507" s="1" t="s">
        <v>1765</v>
      </c>
      <c r="M507" t="s">
        <v>1780</v>
      </c>
      <c r="N507" s="3">
        <v>0.65</v>
      </c>
      <c r="O507" s="1" t="s">
        <v>1765</v>
      </c>
      <c r="P507" t="s">
        <v>1780</v>
      </c>
      <c r="Q507" s="3">
        <v>0.65</v>
      </c>
      <c r="R507" s="1" t="s">
        <v>1765</v>
      </c>
      <c r="S507" t="s">
        <v>1780</v>
      </c>
      <c r="T507" s="3">
        <v>0.65</v>
      </c>
      <c r="U507" s="1" t="s">
        <v>1765</v>
      </c>
      <c r="V507" t="s">
        <v>1780</v>
      </c>
      <c r="W507" s="3">
        <v>0.65</v>
      </c>
      <c r="X507"/>
      <c r="Y507" s="3"/>
      <c r="Z507"/>
      <c r="AA507" s="3"/>
      <c r="AC507" s="3"/>
      <c r="AD507" t="s">
        <v>87</v>
      </c>
      <c r="AE507" s="3">
        <v>1</v>
      </c>
    </row>
    <row r="508" spans="1:31" x14ac:dyDescent="0.35">
      <c r="L508" s="1" t="s">
        <v>1765</v>
      </c>
      <c r="M508" t="s">
        <v>1781</v>
      </c>
      <c r="N508" s="3">
        <v>0.65</v>
      </c>
      <c r="O508" s="1" t="s">
        <v>1765</v>
      </c>
      <c r="P508" t="s">
        <v>1781</v>
      </c>
      <c r="Q508" s="3">
        <v>0.65</v>
      </c>
      <c r="R508" s="1" t="s">
        <v>1765</v>
      </c>
      <c r="S508" t="s">
        <v>1781</v>
      </c>
      <c r="T508" s="3">
        <v>0.65</v>
      </c>
      <c r="U508" s="1" t="s">
        <v>1765</v>
      </c>
      <c r="V508" t="s">
        <v>1781</v>
      </c>
      <c r="W508" s="3">
        <v>0.65</v>
      </c>
      <c r="X508"/>
      <c r="Y508" s="3"/>
      <c r="Z508"/>
      <c r="AA508" s="3"/>
      <c r="AC508" s="3"/>
      <c r="AD508" t="s">
        <v>88</v>
      </c>
      <c r="AE508" s="3">
        <v>1.2</v>
      </c>
    </row>
    <row r="509" spans="1:31" x14ac:dyDescent="0.35">
      <c r="L509" s="1" t="s">
        <v>1765</v>
      </c>
      <c r="M509" t="s">
        <v>1782</v>
      </c>
      <c r="N509" s="3">
        <v>0.65</v>
      </c>
      <c r="O509" s="1" t="s">
        <v>1765</v>
      </c>
      <c r="P509" t="s">
        <v>1782</v>
      </c>
      <c r="Q509" s="3">
        <v>0.65</v>
      </c>
      <c r="R509" s="1" t="s">
        <v>1765</v>
      </c>
      <c r="S509" t="s">
        <v>1782</v>
      </c>
      <c r="T509" s="3">
        <v>0.65</v>
      </c>
      <c r="U509" s="1" t="s">
        <v>1765</v>
      </c>
      <c r="V509" t="s">
        <v>1782</v>
      </c>
      <c r="W509" s="3">
        <v>0.65</v>
      </c>
      <c r="X509"/>
      <c r="Y509" s="3"/>
      <c r="Z509"/>
      <c r="AA509" s="3"/>
      <c r="AC509" s="3"/>
      <c r="AE509" s="3"/>
    </row>
    <row r="510" spans="1:31" x14ac:dyDescent="0.35">
      <c r="L510" s="1" t="s">
        <v>1765</v>
      </c>
      <c r="M510" t="s">
        <v>1783</v>
      </c>
      <c r="N510" s="3">
        <v>0.65</v>
      </c>
      <c r="O510" s="1" t="s">
        <v>1765</v>
      </c>
      <c r="P510" t="s">
        <v>1783</v>
      </c>
      <c r="Q510" s="3">
        <v>0.65</v>
      </c>
      <c r="R510" s="1" t="s">
        <v>1765</v>
      </c>
      <c r="S510" t="s">
        <v>1783</v>
      </c>
      <c r="T510" s="3">
        <v>0.65</v>
      </c>
      <c r="U510" s="1" t="s">
        <v>1765</v>
      </c>
      <c r="V510" t="s">
        <v>1783</v>
      </c>
      <c r="W510" s="3">
        <v>0.65</v>
      </c>
      <c r="X510"/>
      <c r="Y510" s="3"/>
      <c r="Z510"/>
      <c r="AA510" s="3"/>
      <c r="AC510" s="3"/>
      <c r="AE510" s="3"/>
    </row>
    <row r="511" spans="1:31" x14ac:dyDescent="0.35">
      <c r="L511" s="1" t="s">
        <v>1765</v>
      </c>
      <c r="M511" t="s">
        <v>1784</v>
      </c>
      <c r="N511" s="3">
        <v>0.8</v>
      </c>
      <c r="O511" s="1" t="s">
        <v>1765</v>
      </c>
      <c r="P511" t="s">
        <v>1784</v>
      </c>
      <c r="Q511" s="3">
        <v>0.8</v>
      </c>
      <c r="R511" s="1" t="s">
        <v>1765</v>
      </c>
      <c r="S511" t="s">
        <v>1784</v>
      </c>
      <c r="T511" s="3">
        <v>0.8</v>
      </c>
      <c r="U511" s="1" t="s">
        <v>1765</v>
      </c>
      <c r="V511" t="s">
        <v>1784</v>
      </c>
      <c r="W511" s="3">
        <v>0.8</v>
      </c>
      <c r="X511"/>
      <c r="Y511" s="3"/>
      <c r="Z511"/>
      <c r="AA511" s="3"/>
      <c r="AC511" s="3"/>
      <c r="AE511" s="3"/>
    </row>
    <row r="512" spans="1:31" x14ac:dyDescent="0.35">
      <c r="L512" s="1" t="s">
        <v>1765</v>
      </c>
      <c r="M512" t="s">
        <v>1785</v>
      </c>
      <c r="N512" s="3">
        <v>0.8</v>
      </c>
      <c r="O512" s="1" t="s">
        <v>1765</v>
      </c>
      <c r="P512" t="s">
        <v>1785</v>
      </c>
      <c r="Q512" s="3">
        <v>0.8</v>
      </c>
      <c r="R512" s="1" t="s">
        <v>1765</v>
      </c>
      <c r="S512" t="s">
        <v>1785</v>
      </c>
      <c r="T512" s="3">
        <v>0.8</v>
      </c>
      <c r="U512" s="1" t="s">
        <v>1765</v>
      </c>
      <c r="V512" t="s">
        <v>1785</v>
      </c>
      <c r="W512" s="3">
        <v>0.8</v>
      </c>
      <c r="X512"/>
      <c r="Y512" s="3"/>
      <c r="Z512"/>
      <c r="AA512" s="3"/>
      <c r="AC512" s="3"/>
      <c r="AE512" s="3"/>
    </row>
    <row r="513" spans="12:31" x14ac:dyDescent="0.35">
      <c r="L513" s="1" t="s">
        <v>1765</v>
      </c>
      <c r="M513" t="s">
        <v>1786</v>
      </c>
      <c r="N513" s="3">
        <v>0.8</v>
      </c>
      <c r="O513" s="1" t="s">
        <v>1765</v>
      </c>
      <c r="P513" t="s">
        <v>1786</v>
      </c>
      <c r="Q513" s="3">
        <v>0.8</v>
      </c>
      <c r="R513" s="1" t="s">
        <v>1765</v>
      </c>
      <c r="S513" t="s">
        <v>1786</v>
      </c>
      <c r="T513" s="3">
        <v>0.8</v>
      </c>
      <c r="U513" s="1" t="s">
        <v>1765</v>
      </c>
      <c r="V513" t="s">
        <v>1786</v>
      </c>
      <c r="W513" s="3">
        <v>0.8</v>
      </c>
      <c r="X513"/>
      <c r="Y513" s="3"/>
      <c r="Z513"/>
      <c r="AA513" s="3"/>
      <c r="AC513" s="3"/>
      <c r="AE513" s="3"/>
    </row>
    <row r="514" spans="12:31" x14ac:dyDescent="0.35">
      <c r="L514" s="1" t="s">
        <v>1765</v>
      </c>
      <c r="M514" t="s">
        <v>1787</v>
      </c>
      <c r="N514" s="3">
        <v>0.8</v>
      </c>
      <c r="O514" s="1" t="s">
        <v>1765</v>
      </c>
      <c r="P514" t="s">
        <v>1787</v>
      </c>
      <c r="Q514" s="3">
        <v>0.8</v>
      </c>
      <c r="R514" s="1" t="s">
        <v>1765</v>
      </c>
      <c r="S514" t="s">
        <v>1787</v>
      </c>
      <c r="T514" s="3">
        <v>0.8</v>
      </c>
      <c r="U514" s="1" t="s">
        <v>1765</v>
      </c>
      <c r="V514" t="s">
        <v>1787</v>
      </c>
      <c r="W514" s="3">
        <v>0.8</v>
      </c>
      <c r="X514"/>
      <c r="Y514" s="3"/>
      <c r="Z514"/>
      <c r="AA514" s="3"/>
      <c r="AC514" s="3"/>
      <c r="AE514" s="3"/>
    </row>
    <row r="515" spans="12:31" x14ac:dyDescent="0.35">
      <c r="L515" s="1" t="s">
        <v>1765</v>
      </c>
      <c r="M515" t="s">
        <v>1853</v>
      </c>
      <c r="N515" s="3">
        <v>0.8</v>
      </c>
      <c r="O515" s="1" t="s">
        <v>1765</v>
      </c>
      <c r="P515" t="s">
        <v>1853</v>
      </c>
      <c r="Q515" s="3">
        <v>0.8</v>
      </c>
      <c r="R515" s="1" t="s">
        <v>1765</v>
      </c>
      <c r="S515" t="s">
        <v>1853</v>
      </c>
      <c r="T515" s="3">
        <v>0.8</v>
      </c>
      <c r="U515" s="1" t="s">
        <v>1765</v>
      </c>
      <c r="V515" t="s">
        <v>1853</v>
      </c>
      <c r="W515" s="3">
        <v>0.8</v>
      </c>
      <c r="X515"/>
      <c r="Y515" s="3"/>
      <c r="Z515"/>
      <c r="AA515" s="3"/>
      <c r="AC515" s="3"/>
      <c r="AE515" s="3"/>
    </row>
    <row r="516" spans="12:31" x14ac:dyDescent="0.35">
      <c r="L516" s="1" t="s">
        <v>1765</v>
      </c>
      <c r="M516" t="s">
        <v>1788</v>
      </c>
      <c r="N516" s="3">
        <v>0.9</v>
      </c>
      <c r="O516" s="1" t="s">
        <v>1765</v>
      </c>
      <c r="P516" t="s">
        <v>1788</v>
      </c>
      <c r="Q516" s="3">
        <v>0.9</v>
      </c>
      <c r="R516" s="1" t="s">
        <v>1765</v>
      </c>
      <c r="S516" t="s">
        <v>1788</v>
      </c>
      <c r="T516" s="3">
        <v>0.9</v>
      </c>
      <c r="U516" s="1" t="s">
        <v>1765</v>
      </c>
      <c r="V516" t="s">
        <v>1788</v>
      </c>
      <c r="W516" s="3">
        <v>0.9</v>
      </c>
      <c r="X516"/>
      <c r="Y516" s="3"/>
      <c r="Z516"/>
      <c r="AA516" s="3"/>
      <c r="AC516" s="3"/>
      <c r="AE516" s="3"/>
    </row>
    <row r="517" spans="12:31" x14ac:dyDescent="0.35">
      <c r="L517" s="1" t="s">
        <v>1765</v>
      </c>
      <c r="M517" t="s">
        <v>1789</v>
      </c>
      <c r="N517" s="3">
        <v>0.9</v>
      </c>
      <c r="O517" s="1" t="s">
        <v>1765</v>
      </c>
      <c r="P517" t="s">
        <v>1789</v>
      </c>
      <c r="Q517" s="3">
        <v>0.9</v>
      </c>
      <c r="R517" s="1" t="s">
        <v>1765</v>
      </c>
      <c r="S517" t="s">
        <v>1789</v>
      </c>
      <c r="T517" s="3">
        <v>0.9</v>
      </c>
      <c r="U517" s="1" t="s">
        <v>1765</v>
      </c>
      <c r="V517" t="s">
        <v>1789</v>
      </c>
      <c r="W517" s="3">
        <v>0.9</v>
      </c>
      <c r="X517"/>
      <c r="Y517" s="3"/>
      <c r="Z517"/>
      <c r="AA517" s="3"/>
      <c r="AC517" s="3"/>
      <c r="AE517" s="3"/>
    </row>
    <row r="518" spans="12:31" x14ac:dyDescent="0.35">
      <c r="L518" s="1" t="s">
        <v>1765</v>
      </c>
      <c r="M518" t="s">
        <v>1790</v>
      </c>
      <c r="N518" s="3">
        <v>0.9</v>
      </c>
      <c r="O518" s="1" t="s">
        <v>1765</v>
      </c>
      <c r="P518" t="s">
        <v>1790</v>
      </c>
      <c r="Q518" s="3">
        <v>0.9</v>
      </c>
      <c r="R518" s="1" t="s">
        <v>1765</v>
      </c>
      <c r="S518" t="s">
        <v>1790</v>
      </c>
      <c r="T518" s="3">
        <v>0.9</v>
      </c>
      <c r="U518" s="1" t="s">
        <v>1765</v>
      </c>
      <c r="V518" t="s">
        <v>1790</v>
      </c>
      <c r="W518" s="3">
        <v>0.9</v>
      </c>
      <c r="X518"/>
      <c r="Y518" s="3"/>
      <c r="Z518"/>
      <c r="AA518" s="3"/>
      <c r="AC518" s="3"/>
      <c r="AE518" s="3"/>
    </row>
    <row r="519" spans="12:31" x14ac:dyDescent="0.35">
      <c r="L519" s="1" t="s">
        <v>1765</v>
      </c>
      <c r="M519" t="s">
        <v>1791</v>
      </c>
      <c r="N519" s="3">
        <v>0.9</v>
      </c>
      <c r="O519" s="1" t="s">
        <v>1765</v>
      </c>
      <c r="P519" t="s">
        <v>1791</v>
      </c>
      <c r="Q519" s="3">
        <v>0.9</v>
      </c>
      <c r="R519" s="1" t="s">
        <v>1765</v>
      </c>
      <c r="S519" t="s">
        <v>1791</v>
      </c>
      <c r="T519" s="3">
        <v>0.9</v>
      </c>
      <c r="U519" s="1" t="s">
        <v>1765</v>
      </c>
      <c r="V519" t="s">
        <v>1791</v>
      </c>
      <c r="W519" s="3">
        <v>0.9</v>
      </c>
      <c r="X519"/>
      <c r="Y519" s="3"/>
      <c r="Z519"/>
      <c r="AA519" s="3"/>
      <c r="AC519" s="3"/>
      <c r="AE519" s="3"/>
    </row>
    <row r="520" spans="12:31" x14ac:dyDescent="0.35">
      <c r="L520" s="1" t="s">
        <v>1765</v>
      </c>
      <c r="M520" t="s">
        <v>1792</v>
      </c>
      <c r="N520" s="3">
        <v>0.9</v>
      </c>
      <c r="O520" s="1" t="s">
        <v>1765</v>
      </c>
      <c r="P520" t="s">
        <v>1792</v>
      </c>
      <c r="Q520" s="3">
        <v>0.9</v>
      </c>
      <c r="R520" s="1" t="s">
        <v>1765</v>
      </c>
      <c r="S520" t="s">
        <v>1792</v>
      </c>
      <c r="T520" s="3">
        <v>0.9</v>
      </c>
      <c r="U520" s="1" t="s">
        <v>1765</v>
      </c>
      <c r="V520" t="s">
        <v>1792</v>
      </c>
      <c r="W520" s="3">
        <v>0.9</v>
      </c>
      <c r="X520"/>
      <c r="Y520" s="3"/>
      <c r="Z520"/>
      <c r="AA520" s="3"/>
      <c r="AC520" s="3"/>
      <c r="AE520" s="3"/>
    </row>
    <row r="521" spans="12:31" x14ac:dyDescent="0.35">
      <c r="L521" s="1" t="s">
        <v>1765</v>
      </c>
      <c r="M521" t="s">
        <v>1793</v>
      </c>
      <c r="N521" s="3">
        <v>1.1000000000000001</v>
      </c>
      <c r="O521" s="1" t="s">
        <v>1765</v>
      </c>
      <c r="P521" t="s">
        <v>1793</v>
      </c>
      <c r="Q521" s="3">
        <v>1.1000000000000001</v>
      </c>
      <c r="R521" s="1" t="s">
        <v>1765</v>
      </c>
      <c r="S521" t="s">
        <v>1793</v>
      </c>
      <c r="T521" s="3">
        <v>1.1000000000000001</v>
      </c>
      <c r="U521" s="1" t="s">
        <v>1765</v>
      </c>
      <c r="V521" t="s">
        <v>1793</v>
      </c>
      <c r="W521" s="3">
        <v>1.1000000000000001</v>
      </c>
      <c r="X521"/>
      <c r="Y521" s="3"/>
      <c r="Z521"/>
      <c r="AA521" s="3"/>
      <c r="AC521" s="3"/>
      <c r="AE521" s="3"/>
    </row>
    <row r="522" spans="12:31" x14ac:dyDescent="0.35">
      <c r="L522" s="1" t="s">
        <v>1765</v>
      </c>
      <c r="M522" t="s">
        <v>1794</v>
      </c>
      <c r="N522" s="3">
        <v>1.1000000000000001</v>
      </c>
      <c r="O522" s="1" t="s">
        <v>1765</v>
      </c>
      <c r="P522" t="s">
        <v>1794</v>
      </c>
      <c r="Q522" s="3">
        <v>1.1000000000000001</v>
      </c>
      <c r="R522" s="1" t="s">
        <v>1765</v>
      </c>
      <c r="S522" t="s">
        <v>1794</v>
      </c>
      <c r="T522" s="3">
        <v>1.1000000000000001</v>
      </c>
      <c r="U522" s="1" t="s">
        <v>1765</v>
      </c>
      <c r="V522" t="s">
        <v>1794</v>
      </c>
      <c r="W522" s="3">
        <v>1.1000000000000001</v>
      </c>
      <c r="X522"/>
      <c r="Y522" s="3"/>
      <c r="Z522"/>
      <c r="AA522" s="3"/>
      <c r="AC522" s="3"/>
      <c r="AE522" s="3"/>
    </row>
    <row r="523" spans="12:31" x14ac:dyDescent="0.35">
      <c r="L523" s="1" t="s">
        <v>1765</v>
      </c>
      <c r="M523" t="s">
        <v>1795</v>
      </c>
      <c r="N523" s="3">
        <v>1.1000000000000001</v>
      </c>
      <c r="O523" s="1" t="s">
        <v>1765</v>
      </c>
      <c r="P523" t="s">
        <v>1795</v>
      </c>
      <c r="Q523" s="3">
        <v>1.1000000000000001</v>
      </c>
      <c r="R523" s="1" t="s">
        <v>1765</v>
      </c>
      <c r="S523" t="s">
        <v>1795</v>
      </c>
      <c r="T523" s="3">
        <v>1.1000000000000001</v>
      </c>
      <c r="U523" s="1" t="s">
        <v>1765</v>
      </c>
      <c r="V523" t="s">
        <v>1795</v>
      </c>
      <c r="W523" s="3">
        <v>1.1000000000000001</v>
      </c>
      <c r="X523"/>
      <c r="Y523" s="3"/>
      <c r="Z523"/>
      <c r="AA523" s="3"/>
      <c r="AC523" s="3"/>
      <c r="AE523" s="3"/>
    </row>
    <row r="524" spans="12:31" x14ac:dyDescent="0.35">
      <c r="L524" s="1" t="s">
        <v>1765</v>
      </c>
      <c r="M524" t="s">
        <v>54</v>
      </c>
      <c r="N524" s="3">
        <v>1.5</v>
      </c>
      <c r="O524" s="1" t="s">
        <v>1765</v>
      </c>
      <c r="P524" t="s">
        <v>54</v>
      </c>
      <c r="Q524" s="3">
        <v>1.5</v>
      </c>
      <c r="R524" s="1" t="s">
        <v>1765</v>
      </c>
      <c r="S524" t="s">
        <v>54</v>
      </c>
      <c r="T524" s="3">
        <v>1.5</v>
      </c>
      <c r="U524" s="1" t="s">
        <v>1765</v>
      </c>
      <c r="V524" t="s">
        <v>54</v>
      </c>
      <c r="W524" s="3">
        <v>1.5</v>
      </c>
      <c r="X524"/>
      <c r="Y524" s="3"/>
      <c r="Z524"/>
      <c r="AA524" s="3"/>
      <c r="AC524" s="3"/>
      <c r="AE524" s="3"/>
    </row>
    <row r="525" spans="12:31" x14ac:dyDescent="0.35">
      <c r="L525" s="1" t="s">
        <v>1765</v>
      </c>
      <c r="M525" t="s">
        <v>55</v>
      </c>
      <c r="N525" s="3">
        <v>1.7</v>
      </c>
      <c r="O525" s="1" t="s">
        <v>1765</v>
      </c>
      <c r="P525" t="s">
        <v>55</v>
      </c>
      <c r="Q525" s="3">
        <v>1.7</v>
      </c>
      <c r="R525" s="1" t="s">
        <v>1765</v>
      </c>
      <c r="S525" t="s">
        <v>55</v>
      </c>
      <c r="T525" s="3">
        <v>1.7</v>
      </c>
      <c r="U525" s="1" t="s">
        <v>1765</v>
      </c>
      <c r="V525" t="s">
        <v>55</v>
      </c>
      <c r="W525" s="3">
        <v>1.7</v>
      </c>
      <c r="X525"/>
      <c r="Y525" s="3"/>
      <c r="Z525"/>
      <c r="AA525" s="3"/>
      <c r="AC525" s="3"/>
      <c r="AE525" s="3"/>
    </row>
    <row r="526" spans="12:31" x14ac:dyDescent="0.35">
      <c r="L526" s="1" t="s">
        <v>1765</v>
      </c>
      <c r="M526" t="s">
        <v>1796</v>
      </c>
      <c r="N526" s="3">
        <v>2</v>
      </c>
      <c r="O526" s="1" t="s">
        <v>1765</v>
      </c>
      <c r="P526" t="s">
        <v>1796</v>
      </c>
      <c r="Q526" s="3">
        <v>2</v>
      </c>
      <c r="R526" s="1" t="s">
        <v>1765</v>
      </c>
      <c r="S526" t="s">
        <v>1796</v>
      </c>
      <c r="T526" s="3">
        <v>2</v>
      </c>
      <c r="U526" s="1" t="s">
        <v>1765</v>
      </c>
      <c r="V526" t="s">
        <v>1796</v>
      </c>
      <c r="W526" s="3">
        <v>2</v>
      </c>
      <c r="X526"/>
      <c r="Y526" s="3"/>
      <c r="Z526"/>
      <c r="AA526" s="3"/>
      <c r="AC526" s="3"/>
      <c r="AE526" s="3"/>
    </row>
    <row r="527" spans="12:31" x14ac:dyDescent="0.35">
      <c r="L527" s="1" t="s">
        <v>1765</v>
      </c>
      <c r="M527" t="s">
        <v>1797</v>
      </c>
      <c r="N527" s="3">
        <v>2</v>
      </c>
      <c r="O527" s="1" t="s">
        <v>1765</v>
      </c>
      <c r="P527" t="s">
        <v>1797</v>
      </c>
      <c r="Q527" s="3">
        <v>2</v>
      </c>
      <c r="R527" s="1" t="s">
        <v>1765</v>
      </c>
      <c r="S527" t="s">
        <v>1797</v>
      </c>
      <c r="T527" s="3">
        <v>2</v>
      </c>
      <c r="U527" s="1" t="s">
        <v>1765</v>
      </c>
      <c r="V527" t="s">
        <v>1797</v>
      </c>
      <c r="W527" s="3">
        <v>2</v>
      </c>
      <c r="X527"/>
      <c r="Y527" s="3"/>
      <c r="Z527"/>
      <c r="AA527" s="3"/>
      <c r="AC527" s="3"/>
      <c r="AE527" s="3"/>
    </row>
    <row r="528" spans="12:31" x14ac:dyDescent="0.35">
      <c r="L528" s="1" t="s">
        <v>1766</v>
      </c>
      <c r="M528" t="s">
        <v>1633</v>
      </c>
      <c r="N528" s="3">
        <v>0.15</v>
      </c>
      <c r="O528" s="1" t="s">
        <v>1766</v>
      </c>
      <c r="P528" t="s">
        <v>1633</v>
      </c>
      <c r="Q528" s="3">
        <v>0.15</v>
      </c>
      <c r="R528" s="1" t="s">
        <v>1766</v>
      </c>
      <c r="S528" t="s">
        <v>1633</v>
      </c>
      <c r="T528" s="3">
        <v>0.15</v>
      </c>
      <c r="U528" s="1" t="s">
        <v>1766</v>
      </c>
      <c r="V528" t="s">
        <v>1633</v>
      </c>
      <c r="W528" s="3">
        <v>0.15</v>
      </c>
      <c r="X528"/>
      <c r="Y528" s="3"/>
      <c r="Z528"/>
      <c r="AA528" s="3"/>
      <c r="AC528" s="3"/>
      <c r="AE528" s="3"/>
    </row>
    <row r="529" spans="12:31" x14ac:dyDescent="0.35">
      <c r="L529" s="1" t="s">
        <v>1766</v>
      </c>
      <c r="M529" t="s">
        <v>1634</v>
      </c>
      <c r="N529" s="3">
        <v>0.35</v>
      </c>
      <c r="O529" s="1" t="s">
        <v>1766</v>
      </c>
      <c r="P529" t="s">
        <v>1634</v>
      </c>
      <c r="Q529" s="3">
        <v>0.35</v>
      </c>
      <c r="R529" s="1" t="s">
        <v>1766</v>
      </c>
      <c r="S529" t="s">
        <v>1634</v>
      </c>
      <c r="T529" s="3">
        <v>0.35</v>
      </c>
      <c r="U529" s="1" t="s">
        <v>1766</v>
      </c>
      <c r="V529" t="s">
        <v>1634</v>
      </c>
      <c r="W529" s="3">
        <v>0.35</v>
      </c>
      <c r="X529"/>
      <c r="Y529" s="3"/>
      <c r="Z529"/>
      <c r="AA529" s="3"/>
      <c r="AC529" s="3"/>
      <c r="AE529" s="3"/>
    </row>
    <row r="530" spans="12:31" x14ac:dyDescent="0.35">
      <c r="L530" s="1" t="s">
        <v>1766</v>
      </c>
      <c r="M530" t="s">
        <v>1635</v>
      </c>
      <c r="N530" s="3">
        <v>0.4</v>
      </c>
      <c r="O530" s="1" t="s">
        <v>1766</v>
      </c>
      <c r="P530" t="s">
        <v>1635</v>
      </c>
      <c r="Q530" s="3">
        <v>0.4</v>
      </c>
      <c r="R530" s="1" t="s">
        <v>1766</v>
      </c>
      <c r="S530" t="s">
        <v>1635</v>
      </c>
      <c r="T530" s="3">
        <v>0.4</v>
      </c>
      <c r="U530" s="1" t="s">
        <v>1766</v>
      </c>
      <c r="V530" t="s">
        <v>1635</v>
      </c>
      <c r="W530" s="3">
        <v>0.4</v>
      </c>
      <c r="X530"/>
      <c r="Y530" s="3"/>
      <c r="Z530"/>
      <c r="AA530" s="3"/>
      <c r="AC530" s="3"/>
      <c r="AE530" s="3"/>
    </row>
    <row r="531" spans="12:31" x14ac:dyDescent="0.35">
      <c r="L531" s="1" t="s">
        <v>1766</v>
      </c>
      <c r="M531" t="s">
        <v>1636</v>
      </c>
      <c r="N531" s="3">
        <v>0.35</v>
      </c>
      <c r="O531" s="1" t="s">
        <v>1766</v>
      </c>
      <c r="P531" t="s">
        <v>1636</v>
      </c>
      <c r="Q531" s="3">
        <v>0.35</v>
      </c>
      <c r="R531" s="1" t="s">
        <v>1766</v>
      </c>
      <c r="S531" t="s">
        <v>1636</v>
      </c>
      <c r="T531" s="3">
        <v>0.35</v>
      </c>
      <c r="U531" s="1" t="s">
        <v>1766</v>
      </c>
      <c r="V531" t="s">
        <v>1636</v>
      </c>
      <c r="W531" s="3">
        <v>0.35</v>
      </c>
      <c r="X531"/>
      <c r="Y531" s="3"/>
      <c r="Z531"/>
      <c r="AA531" s="3"/>
      <c r="AC531" s="3"/>
      <c r="AE531" s="3"/>
    </row>
    <row r="532" spans="12:31" x14ac:dyDescent="0.35">
      <c r="L532" s="1" t="s">
        <v>1766</v>
      </c>
      <c r="M532" t="s">
        <v>1637</v>
      </c>
      <c r="N532" s="3">
        <v>0.8</v>
      </c>
      <c r="O532" s="1" t="s">
        <v>1766</v>
      </c>
      <c r="P532" t="s">
        <v>1637</v>
      </c>
      <c r="Q532" s="3">
        <v>0.8</v>
      </c>
      <c r="R532" s="1" t="s">
        <v>1766</v>
      </c>
      <c r="S532" t="s">
        <v>1637</v>
      </c>
      <c r="T532" s="3">
        <v>0.8</v>
      </c>
      <c r="U532" s="1" t="s">
        <v>1766</v>
      </c>
      <c r="V532" t="s">
        <v>1637</v>
      </c>
      <c r="W532" s="3">
        <v>0.8</v>
      </c>
      <c r="X532"/>
      <c r="Y532" s="3"/>
      <c r="Z532"/>
      <c r="AA532" s="3"/>
      <c r="AC532" s="3"/>
      <c r="AE532" s="3"/>
    </row>
    <row r="533" spans="12:31" x14ac:dyDescent="0.35">
      <c r="L533" s="1" t="s">
        <v>1766</v>
      </c>
      <c r="M533" t="s">
        <v>1638</v>
      </c>
      <c r="N533" s="3">
        <v>0.85</v>
      </c>
      <c r="O533" s="1" t="s">
        <v>1766</v>
      </c>
      <c r="P533" t="s">
        <v>1638</v>
      </c>
      <c r="Q533" s="3">
        <v>0.85</v>
      </c>
      <c r="R533" s="1" t="s">
        <v>1766</v>
      </c>
      <c r="S533" t="s">
        <v>1638</v>
      </c>
      <c r="T533" s="3">
        <v>0.85</v>
      </c>
      <c r="U533" s="1" t="s">
        <v>1766</v>
      </c>
      <c r="V533" t="s">
        <v>1638</v>
      </c>
      <c r="W533" s="3">
        <v>0.85</v>
      </c>
      <c r="X533"/>
      <c r="Z533"/>
      <c r="AE533" s="3"/>
    </row>
    <row r="534" spans="12:31" x14ac:dyDescent="0.35">
      <c r="L534" s="1" t="s">
        <v>1766</v>
      </c>
      <c r="M534" t="s">
        <v>1639</v>
      </c>
      <c r="N534" s="3">
        <v>0.75</v>
      </c>
      <c r="O534" s="1" t="s">
        <v>1766</v>
      </c>
      <c r="P534" t="s">
        <v>1639</v>
      </c>
      <c r="Q534" s="3">
        <v>0.75</v>
      </c>
      <c r="R534" s="1" t="s">
        <v>1766</v>
      </c>
      <c r="S534" t="s">
        <v>1639</v>
      </c>
      <c r="T534" s="3">
        <v>0.75</v>
      </c>
      <c r="U534" s="1" t="s">
        <v>1766</v>
      </c>
      <c r="V534" t="s">
        <v>1639</v>
      </c>
      <c r="W534" s="3">
        <v>0.75</v>
      </c>
      <c r="X534"/>
      <c r="Z534"/>
      <c r="AE534" s="3"/>
    </row>
    <row r="535" spans="12:31" x14ac:dyDescent="0.35">
      <c r="L535" s="1" t="s">
        <v>1766</v>
      </c>
      <c r="M535" t="s">
        <v>1640</v>
      </c>
      <c r="N535" s="3">
        <v>1.6</v>
      </c>
      <c r="O535" s="1" t="s">
        <v>1766</v>
      </c>
      <c r="P535" t="s">
        <v>1640</v>
      </c>
      <c r="Q535" s="3">
        <v>1.6</v>
      </c>
      <c r="R535" s="1" t="s">
        <v>1766</v>
      </c>
      <c r="S535" t="s">
        <v>1640</v>
      </c>
      <c r="T535" s="3">
        <v>1.6</v>
      </c>
      <c r="U535" s="1" t="s">
        <v>1766</v>
      </c>
      <c r="V535" t="s">
        <v>1640</v>
      </c>
      <c r="W535" s="3">
        <v>1.6</v>
      </c>
      <c r="X535"/>
      <c r="Z535"/>
      <c r="AE535" s="3"/>
    </row>
    <row r="536" spans="12:31" x14ac:dyDescent="0.35">
      <c r="L536" s="1" t="s">
        <v>1766</v>
      </c>
      <c r="M536" t="s">
        <v>1641</v>
      </c>
      <c r="N536" s="3">
        <v>1.65</v>
      </c>
      <c r="O536" s="1" t="s">
        <v>1766</v>
      </c>
      <c r="P536" t="s">
        <v>1641</v>
      </c>
      <c r="Q536" s="3">
        <v>1.65</v>
      </c>
      <c r="R536" s="1" t="s">
        <v>1766</v>
      </c>
      <c r="S536" t="s">
        <v>1641</v>
      </c>
      <c r="T536" s="3">
        <v>1.65</v>
      </c>
      <c r="U536" s="1" t="s">
        <v>1766</v>
      </c>
      <c r="V536" t="s">
        <v>1641</v>
      </c>
      <c r="W536" s="3">
        <v>1.65</v>
      </c>
      <c r="X536"/>
      <c r="Z536"/>
      <c r="AE536" s="3"/>
    </row>
    <row r="537" spans="12:31" x14ac:dyDescent="0.35">
      <c r="L537" s="1" t="s">
        <v>1766</v>
      </c>
      <c r="M537" t="s">
        <v>1642</v>
      </c>
      <c r="N537" s="3">
        <v>1.1499999999999999</v>
      </c>
      <c r="O537" s="1" t="s">
        <v>1766</v>
      </c>
      <c r="P537" t="s">
        <v>1642</v>
      </c>
      <c r="Q537" s="3">
        <v>1.1499999999999999</v>
      </c>
      <c r="R537" s="1" t="s">
        <v>1766</v>
      </c>
      <c r="S537" t="s">
        <v>1642</v>
      </c>
      <c r="T537" s="3">
        <v>1.1499999999999999</v>
      </c>
      <c r="U537" s="1" t="s">
        <v>1766</v>
      </c>
      <c r="V537" t="s">
        <v>1642</v>
      </c>
      <c r="W537" s="3">
        <v>1.1499999999999999</v>
      </c>
      <c r="X537"/>
      <c r="Z537"/>
      <c r="AE537" s="3"/>
    </row>
    <row r="538" spans="12:31" x14ac:dyDescent="0.35">
      <c r="L538" s="1" t="s">
        <v>1766</v>
      </c>
      <c r="M538" t="s">
        <v>1643</v>
      </c>
      <c r="N538" s="3">
        <v>2.4</v>
      </c>
      <c r="O538" s="1" t="s">
        <v>1766</v>
      </c>
      <c r="P538" t="s">
        <v>1643</v>
      </c>
      <c r="Q538" s="3">
        <v>2.4</v>
      </c>
      <c r="R538" s="1" t="s">
        <v>1766</v>
      </c>
      <c r="S538" t="s">
        <v>1643</v>
      </c>
      <c r="T538" s="3">
        <v>2.4</v>
      </c>
      <c r="U538" s="1" t="s">
        <v>1766</v>
      </c>
      <c r="V538" t="s">
        <v>1643</v>
      </c>
      <c r="W538" s="3">
        <v>2.4</v>
      </c>
      <c r="X538"/>
      <c r="Z538"/>
      <c r="AE538" s="3"/>
    </row>
    <row r="539" spans="12:31" x14ac:dyDescent="0.35">
      <c r="L539" s="1" t="s">
        <v>1766</v>
      </c>
      <c r="M539" t="s">
        <v>1644</v>
      </c>
      <c r="N539" s="3">
        <v>2.4500000000000002</v>
      </c>
      <c r="O539" s="1" t="s">
        <v>1766</v>
      </c>
      <c r="P539" t="s">
        <v>1644</v>
      </c>
      <c r="Q539" s="3">
        <v>2.4500000000000002</v>
      </c>
      <c r="R539" s="1" t="s">
        <v>1766</v>
      </c>
      <c r="S539" t="s">
        <v>1644</v>
      </c>
      <c r="T539" s="3">
        <v>2.4500000000000002</v>
      </c>
      <c r="U539" s="1" t="s">
        <v>1766</v>
      </c>
      <c r="V539" t="s">
        <v>1644</v>
      </c>
      <c r="W539" s="3">
        <v>2.4500000000000002</v>
      </c>
      <c r="X539"/>
      <c r="Z539"/>
      <c r="AE539" s="3"/>
    </row>
    <row r="540" spans="12:31" x14ac:dyDescent="0.35">
      <c r="L540" s="1" t="s">
        <v>1766</v>
      </c>
      <c r="M540" t="s">
        <v>1645</v>
      </c>
      <c r="N540" s="3">
        <v>1.55</v>
      </c>
      <c r="O540" s="1" t="s">
        <v>1766</v>
      </c>
      <c r="P540" t="s">
        <v>1645</v>
      </c>
      <c r="Q540" s="3">
        <v>1.55</v>
      </c>
      <c r="R540" s="1" t="s">
        <v>1766</v>
      </c>
      <c r="S540" t="s">
        <v>1645</v>
      </c>
      <c r="T540" s="3">
        <v>1.55</v>
      </c>
      <c r="U540" s="1" t="s">
        <v>1766</v>
      </c>
      <c r="V540" t="s">
        <v>1645</v>
      </c>
      <c r="W540" s="3">
        <v>1.55</v>
      </c>
      <c r="X540"/>
      <c r="Z540"/>
      <c r="AE540" s="3"/>
    </row>
    <row r="541" spans="12:31" x14ac:dyDescent="0.35">
      <c r="L541" s="1" t="s">
        <v>1766</v>
      </c>
      <c r="M541" t="s">
        <v>1646</v>
      </c>
      <c r="N541" s="3">
        <v>3.2</v>
      </c>
      <c r="O541" s="1" t="s">
        <v>1766</v>
      </c>
      <c r="P541" t="s">
        <v>1646</v>
      </c>
      <c r="Q541" s="3">
        <v>3.2</v>
      </c>
      <c r="R541" s="1" t="s">
        <v>1766</v>
      </c>
      <c r="S541" t="s">
        <v>1646</v>
      </c>
      <c r="T541" s="3">
        <v>3.2</v>
      </c>
      <c r="U541" s="1" t="s">
        <v>1766</v>
      </c>
      <c r="V541" t="s">
        <v>1646</v>
      </c>
      <c r="W541" s="3">
        <v>3.2</v>
      </c>
      <c r="X541"/>
      <c r="Z541"/>
      <c r="AE541" s="3"/>
    </row>
    <row r="542" spans="12:31" x14ac:dyDescent="0.35">
      <c r="L542" s="1" t="s">
        <v>1766</v>
      </c>
      <c r="M542" t="s">
        <v>1647</v>
      </c>
      <c r="N542" s="3">
        <v>3.25</v>
      </c>
      <c r="O542" s="1" t="s">
        <v>1766</v>
      </c>
      <c r="P542" t="s">
        <v>1647</v>
      </c>
      <c r="Q542" s="3">
        <v>3.25</v>
      </c>
      <c r="R542" s="1" t="s">
        <v>1766</v>
      </c>
      <c r="S542" t="s">
        <v>1647</v>
      </c>
      <c r="T542" s="3">
        <v>3.25</v>
      </c>
      <c r="U542" s="1" t="s">
        <v>1766</v>
      </c>
      <c r="V542" t="s">
        <v>1647</v>
      </c>
      <c r="W542" s="3">
        <v>3.25</v>
      </c>
      <c r="X542"/>
      <c r="Z542"/>
    </row>
    <row r="543" spans="12:31" x14ac:dyDescent="0.35">
      <c r="L543" s="1" t="s">
        <v>1766</v>
      </c>
      <c r="M543" t="s">
        <v>1648</v>
      </c>
      <c r="N543" s="3">
        <v>1.95</v>
      </c>
      <c r="O543" s="1" t="s">
        <v>1766</v>
      </c>
      <c r="P543" t="s">
        <v>1648</v>
      </c>
      <c r="Q543" s="3">
        <v>1.95</v>
      </c>
      <c r="R543" s="1" t="s">
        <v>1766</v>
      </c>
      <c r="S543" t="s">
        <v>1648</v>
      </c>
      <c r="T543" s="3">
        <v>1.95</v>
      </c>
      <c r="U543" s="1" t="s">
        <v>1766</v>
      </c>
      <c r="V543" t="s">
        <v>1648</v>
      </c>
      <c r="W543" s="3">
        <v>1.95</v>
      </c>
      <c r="X543"/>
      <c r="Z543"/>
    </row>
    <row r="544" spans="12:31" x14ac:dyDescent="0.35">
      <c r="L544" s="1" t="s">
        <v>1766</v>
      </c>
      <c r="M544" t="s">
        <v>1649</v>
      </c>
      <c r="N544" s="3">
        <v>4</v>
      </c>
      <c r="O544" s="1" t="s">
        <v>1766</v>
      </c>
      <c r="P544" t="s">
        <v>1649</v>
      </c>
      <c r="Q544" s="3">
        <v>4</v>
      </c>
      <c r="R544" s="1" t="s">
        <v>1766</v>
      </c>
      <c r="S544" t="s">
        <v>1649</v>
      </c>
      <c r="T544" s="3">
        <v>4</v>
      </c>
      <c r="U544" s="1" t="s">
        <v>1766</v>
      </c>
      <c r="V544" t="s">
        <v>1649</v>
      </c>
      <c r="W544" s="3">
        <v>4</v>
      </c>
      <c r="X544"/>
      <c r="Z544"/>
    </row>
    <row r="545" spans="12:26" x14ac:dyDescent="0.35">
      <c r="L545" s="1" t="s">
        <v>1766</v>
      </c>
      <c r="M545" t="s">
        <v>1650</v>
      </c>
      <c r="N545" s="3">
        <v>4.05</v>
      </c>
      <c r="O545" s="1" t="s">
        <v>1766</v>
      </c>
      <c r="P545" t="s">
        <v>1650</v>
      </c>
      <c r="Q545" s="3">
        <v>4.05</v>
      </c>
      <c r="R545" s="1" t="s">
        <v>1766</v>
      </c>
      <c r="S545" t="s">
        <v>1650</v>
      </c>
      <c r="T545" s="3">
        <v>4.05</v>
      </c>
      <c r="U545" s="1" t="s">
        <v>1766</v>
      </c>
      <c r="V545" t="s">
        <v>1650</v>
      </c>
      <c r="W545" s="3">
        <v>4.05</v>
      </c>
      <c r="X545"/>
      <c r="Z545"/>
    </row>
    <row r="546" spans="12:26" x14ac:dyDescent="0.35">
      <c r="L546" s="1" t="s">
        <v>1766</v>
      </c>
      <c r="M546" t="s">
        <v>1651</v>
      </c>
      <c r="N546" s="3">
        <v>2.35</v>
      </c>
      <c r="O546" s="1" t="s">
        <v>1766</v>
      </c>
      <c r="P546" t="s">
        <v>1651</v>
      </c>
      <c r="Q546" s="3">
        <v>2.35</v>
      </c>
      <c r="R546" s="1" t="s">
        <v>1766</v>
      </c>
      <c r="S546" t="s">
        <v>1651</v>
      </c>
      <c r="T546" s="3">
        <v>2.35</v>
      </c>
      <c r="U546" s="1" t="s">
        <v>1766</v>
      </c>
      <c r="V546" t="s">
        <v>1651</v>
      </c>
      <c r="W546" s="3">
        <v>2.35</v>
      </c>
      <c r="X546"/>
      <c r="Z546"/>
    </row>
    <row r="547" spans="12:26" x14ac:dyDescent="0.35">
      <c r="L547" s="1" t="s">
        <v>1766</v>
      </c>
      <c r="M547" t="s">
        <v>1652</v>
      </c>
      <c r="N547" s="3">
        <v>4.8</v>
      </c>
      <c r="O547" s="1" t="s">
        <v>1766</v>
      </c>
      <c r="P547" t="s">
        <v>1652</v>
      </c>
      <c r="Q547" s="3">
        <v>4.8</v>
      </c>
      <c r="R547" s="1" t="s">
        <v>1766</v>
      </c>
      <c r="S547" t="s">
        <v>1652</v>
      </c>
      <c r="T547" s="3">
        <v>4.8</v>
      </c>
      <c r="U547" s="1" t="s">
        <v>1766</v>
      </c>
      <c r="V547" t="s">
        <v>1652</v>
      </c>
      <c r="W547" s="3">
        <v>4.8</v>
      </c>
      <c r="X547"/>
      <c r="Z547"/>
    </row>
    <row r="548" spans="12:26" x14ac:dyDescent="0.35">
      <c r="L548" s="1" t="s">
        <v>1766</v>
      </c>
      <c r="M548" t="s">
        <v>1653</v>
      </c>
      <c r="N548" s="3">
        <v>4.8499999999999996</v>
      </c>
      <c r="O548" s="1" t="s">
        <v>1766</v>
      </c>
      <c r="P548" t="s">
        <v>1653</v>
      </c>
      <c r="Q548" s="3">
        <v>4.8499999999999996</v>
      </c>
      <c r="R548" s="1" t="s">
        <v>1766</v>
      </c>
      <c r="S548" t="s">
        <v>1653</v>
      </c>
      <c r="T548" s="3">
        <v>4.8499999999999996</v>
      </c>
      <c r="U548" s="1" t="s">
        <v>1766</v>
      </c>
      <c r="V548" t="s">
        <v>1653</v>
      </c>
      <c r="W548" s="3">
        <v>4.8499999999999996</v>
      </c>
      <c r="X548"/>
      <c r="Z548"/>
    </row>
    <row r="549" spans="12:26" x14ac:dyDescent="0.35">
      <c r="L549" s="1" t="s">
        <v>1766</v>
      </c>
      <c r="M549" t="s">
        <v>1654</v>
      </c>
      <c r="N549" s="3">
        <v>2.75</v>
      </c>
      <c r="O549" s="1" t="s">
        <v>1766</v>
      </c>
      <c r="P549" t="s">
        <v>1654</v>
      </c>
      <c r="Q549" s="3">
        <v>2.75</v>
      </c>
      <c r="R549" s="1" t="s">
        <v>1766</v>
      </c>
      <c r="S549" t="s">
        <v>1654</v>
      </c>
      <c r="T549" s="3">
        <v>2.75</v>
      </c>
      <c r="U549" s="1" t="s">
        <v>1766</v>
      </c>
      <c r="V549" t="s">
        <v>1654</v>
      </c>
      <c r="W549" s="3">
        <v>2.75</v>
      </c>
      <c r="X549"/>
      <c r="Z549"/>
    </row>
    <row r="550" spans="12:26" x14ac:dyDescent="0.35">
      <c r="L550" s="1" t="s">
        <v>1766</v>
      </c>
      <c r="M550" t="s">
        <v>1655</v>
      </c>
      <c r="N550" s="3">
        <v>3.15</v>
      </c>
      <c r="O550" s="1" t="s">
        <v>1766</v>
      </c>
      <c r="P550" t="s">
        <v>1655</v>
      </c>
      <c r="Q550" s="3">
        <v>3.15</v>
      </c>
      <c r="R550" s="1" t="s">
        <v>1766</v>
      </c>
      <c r="S550" t="s">
        <v>1655</v>
      </c>
      <c r="T550" s="3">
        <v>3.15</v>
      </c>
      <c r="U550" s="1" t="s">
        <v>1766</v>
      </c>
      <c r="V550" t="s">
        <v>1655</v>
      </c>
      <c r="W550" s="3">
        <v>3.15</v>
      </c>
      <c r="X550"/>
      <c r="Z550"/>
    </row>
    <row r="551" spans="12:26" x14ac:dyDescent="0.35">
      <c r="L551" s="1" t="s">
        <v>1766</v>
      </c>
      <c r="M551" t="s">
        <v>1656</v>
      </c>
      <c r="N551" s="3">
        <v>3.55</v>
      </c>
      <c r="O551" s="1" t="s">
        <v>1766</v>
      </c>
      <c r="P551" t="s">
        <v>1656</v>
      </c>
      <c r="Q551" s="3">
        <v>3.55</v>
      </c>
      <c r="R551" s="1" t="s">
        <v>1766</v>
      </c>
      <c r="S551" t="s">
        <v>1656</v>
      </c>
      <c r="T551" s="3">
        <v>3.55</v>
      </c>
      <c r="U551" s="1" t="s">
        <v>1766</v>
      </c>
      <c r="V551" t="s">
        <v>1656</v>
      </c>
      <c r="W551" s="3">
        <v>3.55</v>
      </c>
      <c r="X551"/>
      <c r="Z551"/>
    </row>
    <row r="552" spans="12:26" x14ac:dyDescent="0.35">
      <c r="L552" s="1" t="s">
        <v>1766</v>
      </c>
      <c r="M552" t="s">
        <v>1657</v>
      </c>
      <c r="N552" s="3">
        <v>3.95</v>
      </c>
      <c r="O552" s="1" t="s">
        <v>1766</v>
      </c>
      <c r="P552" t="s">
        <v>1657</v>
      </c>
      <c r="Q552" s="3">
        <v>3.95</v>
      </c>
      <c r="R552" s="1" t="s">
        <v>1766</v>
      </c>
      <c r="S552" t="s">
        <v>1657</v>
      </c>
      <c r="T552" s="3">
        <v>3.95</v>
      </c>
      <c r="U552" s="1" t="s">
        <v>1766</v>
      </c>
      <c r="V552" t="s">
        <v>1657</v>
      </c>
      <c r="W552" s="3">
        <v>3.95</v>
      </c>
      <c r="X552"/>
      <c r="Z552"/>
    </row>
    <row r="553" spans="12:26" x14ac:dyDescent="0.35">
      <c r="L553" s="1" t="s">
        <v>1767</v>
      </c>
      <c r="M553" t="s">
        <v>1658</v>
      </c>
      <c r="N553" s="3">
        <v>0.1</v>
      </c>
      <c r="O553" s="1" t="s">
        <v>1767</v>
      </c>
      <c r="P553" t="s">
        <v>1658</v>
      </c>
      <c r="Q553" s="3">
        <v>0.1</v>
      </c>
      <c r="R553" s="1" t="s">
        <v>1767</v>
      </c>
      <c r="S553" t="s">
        <v>1658</v>
      </c>
      <c r="T553" s="3">
        <v>0.1</v>
      </c>
      <c r="U553" s="1" t="s">
        <v>1767</v>
      </c>
      <c r="V553" t="s">
        <v>1658</v>
      </c>
      <c r="W553" s="3">
        <v>0.1</v>
      </c>
      <c r="X553"/>
      <c r="Z553"/>
    </row>
    <row r="554" spans="12:26" x14ac:dyDescent="0.35">
      <c r="L554" s="1" t="s">
        <v>1767</v>
      </c>
      <c r="M554" t="s">
        <v>1659</v>
      </c>
      <c r="N554" s="3">
        <v>0.15</v>
      </c>
      <c r="O554" s="1" t="s">
        <v>1767</v>
      </c>
      <c r="P554" t="s">
        <v>1659</v>
      </c>
      <c r="Q554" s="3">
        <v>0.15</v>
      </c>
      <c r="R554" s="1" t="s">
        <v>1767</v>
      </c>
      <c r="S554" t="s">
        <v>1659</v>
      </c>
      <c r="T554" s="3">
        <v>0.15</v>
      </c>
      <c r="U554" s="1" t="s">
        <v>1767</v>
      </c>
      <c r="V554" t="s">
        <v>1659</v>
      </c>
      <c r="W554" s="3">
        <v>0.15</v>
      </c>
      <c r="X554"/>
      <c r="Z554"/>
    </row>
    <row r="555" spans="12:26" x14ac:dyDescent="0.35">
      <c r="L555" s="1" t="s">
        <v>1767</v>
      </c>
      <c r="M555" t="s">
        <v>1660</v>
      </c>
      <c r="N555" s="3">
        <v>0.2</v>
      </c>
      <c r="O555" s="1" t="s">
        <v>1767</v>
      </c>
      <c r="P555" t="s">
        <v>1660</v>
      </c>
      <c r="Q555" s="3">
        <v>0.2</v>
      </c>
      <c r="R555" s="1" t="s">
        <v>1767</v>
      </c>
      <c r="S555" t="s">
        <v>1660</v>
      </c>
      <c r="T555" s="3">
        <v>0.2</v>
      </c>
      <c r="U555" s="1" t="s">
        <v>1767</v>
      </c>
      <c r="V555" t="s">
        <v>1660</v>
      </c>
      <c r="W555" s="3">
        <v>0.2</v>
      </c>
      <c r="X555"/>
      <c r="Z555"/>
    </row>
    <row r="556" spans="12:26" x14ac:dyDescent="0.35">
      <c r="L556" s="1" t="s">
        <v>1767</v>
      </c>
      <c r="M556" t="s">
        <v>1798</v>
      </c>
      <c r="N556" s="3">
        <v>0.25</v>
      </c>
      <c r="O556" s="1" t="s">
        <v>1767</v>
      </c>
      <c r="P556" t="s">
        <v>1798</v>
      </c>
      <c r="Q556" s="3">
        <v>0.25</v>
      </c>
      <c r="R556" s="1" t="s">
        <v>1767</v>
      </c>
      <c r="S556" t="s">
        <v>1798</v>
      </c>
      <c r="T556" s="3">
        <v>0.25</v>
      </c>
      <c r="U556" s="1" t="s">
        <v>1767</v>
      </c>
      <c r="V556" t="s">
        <v>1798</v>
      </c>
      <c r="W556" s="3">
        <v>0.25</v>
      </c>
      <c r="X556"/>
      <c r="Z556"/>
    </row>
    <row r="557" spans="12:26" x14ac:dyDescent="0.35">
      <c r="L557" s="1" t="s">
        <v>1767</v>
      </c>
      <c r="M557" t="s">
        <v>1799</v>
      </c>
      <c r="N557" s="3">
        <v>0.25</v>
      </c>
      <c r="O557" s="1" t="s">
        <v>1767</v>
      </c>
      <c r="P557" t="s">
        <v>1799</v>
      </c>
      <c r="Q557" s="3">
        <v>0.25</v>
      </c>
      <c r="R557" s="1" t="s">
        <v>1767</v>
      </c>
      <c r="S557" t="s">
        <v>1799</v>
      </c>
      <c r="T557" s="3">
        <v>0.25</v>
      </c>
      <c r="U557" s="1" t="s">
        <v>1767</v>
      </c>
      <c r="V557" t="s">
        <v>1799</v>
      </c>
      <c r="W557" s="3">
        <v>0.25</v>
      </c>
      <c r="X557"/>
      <c r="Z557"/>
    </row>
    <row r="558" spans="12:26" x14ac:dyDescent="0.35">
      <c r="L558" s="1" t="s">
        <v>1767</v>
      </c>
      <c r="M558" t="s">
        <v>56</v>
      </c>
      <c r="N558" s="3">
        <v>0.2</v>
      </c>
      <c r="O558" s="1" t="s">
        <v>1767</v>
      </c>
      <c r="P558" t="s">
        <v>56</v>
      </c>
      <c r="Q558" s="3">
        <v>0.2</v>
      </c>
      <c r="R558" s="1" t="s">
        <v>1767</v>
      </c>
      <c r="S558" t="s">
        <v>56</v>
      </c>
      <c r="T558" s="3">
        <v>0.2</v>
      </c>
      <c r="U558" s="1" t="s">
        <v>1767</v>
      </c>
      <c r="V558" t="s">
        <v>56</v>
      </c>
      <c r="W558" s="3">
        <v>0.2</v>
      </c>
      <c r="X558"/>
      <c r="Z558"/>
    </row>
    <row r="559" spans="12:26" x14ac:dyDescent="0.35">
      <c r="L559" s="1" t="s">
        <v>1767</v>
      </c>
      <c r="M559" t="s">
        <v>1661</v>
      </c>
      <c r="N559" s="3">
        <v>0.35</v>
      </c>
      <c r="O559" s="1" t="s">
        <v>1767</v>
      </c>
      <c r="P559" t="s">
        <v>1661</v>
      </c>
      <c r="Q559" s="3">
        <v>0.35</v>
      </c>
      <c r="R559" s="1" t="s">
        <v>1767</v>
      </c>
      <c r="S559" t="s">
        <v>1661</v>
      </c>
      <c r="T559" s="3">
        <v>0.35</v>
      </c>
      <c r="U559" s="1" t="s">
        <v>1767</v>
      </c>
      <c r="V559" t="s">
        <v>1661</v>
      </c>
      <c r="W559" s="3">
        <v>0.35</v>
      </c>
      <c r="X559"/>
      <c r="Z559"/>
    </row>
    <row r="560" spans="12:26" x14ac:dyDescent="0.35">
      <c r="L560" s="1" t="s">
        <v>1767</v>
      </c>
      <c r="M560" t="s">
        <v>1662</v>
      </c>
      <c r="N560" s="3">
        <v>0.45</v>
      </c>
      <c r="O560" s="1" t="s">
        <v>1767</v>
      </c>
      <c r="P560" t="s">
        <v>1662</v>
      </c>
      <c r="Q560" s="3">
        <v>0.45</v>
      </c>
      <c r="R560" s="1" t="s">
        <v>1767</v>
      </c>
      <c r="S560" t="s">
        <v>1662</v>
      </c>
      <c r="T560" s="3">
        <v>0.45</v>
      </c>
      <c r="U560" s="1" t="s">
        <v>1767</v>
      </c>
      <c r="V560" t="s">
        <v>1662</v>
      </c>
      <c r="W560" s="3">
        <v>0.45</v>
      </c>
      <c r="X560"/>
      <c r="Z560"/>
    </row>
    <row r="561" spans="12:26" x14ac:dyDescent="0.35">
      <c r="L561" s="1" t="s">
        <v>1767</v>
      </c>
      <c r="M561" t="s">
        <v>1663</v>
      </c>
      <c r="N561" s="3">
        <v>0.5</v>
      </c>
      <c r="O561" s="1" t="s">
        <v>1767</v>
      </c>
      <c r="P561" t="s">
        <v>1663</v>
      </c>
      <c r="Q561" s="3">
        <v>0.5</v>
      </c>
      <c r="R561" s="1" t="s">
        <v>1767</v>
      </c>
      <c r="S561" t="s">
        <v>1663</v>
      </c>
      <c r="T561" s="3">
        <v>0.5</v>
      </c>
      <c r="U561" s="1" t="s">
        <v>1767</v>
      </c>
      <c r="V561" t="s">
        <v>1663</v>
      </c>
      <c r="W561" s="3">
        <v>0.5</v>
      </c>
      <c r="X561"/>
      <c r="Z561"/>
    </row>
    <row r="562" spans="12:26" x14ac:dyDescent="0.35">
      <c r="L562" s="1" t="s">
        <v>1767</v>
      </c>
      <c r="M562" t="s">
        <v>1664</v>
      </c>
      <c r="N562" s="3">
        <v>0.55000000000000004</v>
      </c>
      <c r="O562" s="1" t="s">
        <v>1767</v>
      </c>
      <c r="P562" t="s">
        <v>1664</v>
      </c>
      <c r="Q562" s="3">
        <v>0.55000000000000004</v>
      </c>
      <c r="R562" s="1" t="s">
        <v>1767</v>
      </c>
      <c r="S562" t="s">
        <v>1664</v>
      </c>
      <c r="T562" s="3">
        <v>0.55000000000000004</v>
      </c>
      <c r="U562" s="1" t="s">
        <v>1767</v>
      </c>
      <c r="V562" t="s">
        <v>1664</v>
      </c>
      <c r="W562" s="3">
        <v>0.55000000000000004</v>
      </c>
      <c r="X562"/>
      <c r="Z562"/>
    </row>
    <row r="563" spans="12:26" x14ac:dyDescent="0.35">
      <c r="L563" s="1" t="s">
        <v>1767</v>
      </c>
      <c r="M563" t="s">
        <v>1665</v>
      </c>
      <c r="N563" s="3">
        <v>0.55000000000000004</v>
      </c>
      <c r="O563" s="1" t="s">
        <v>1767</v>
      </c>
      <c r="P563" t="s">
        <v>1665</v>
      </c>
      <c r="Q563" s="3">
        <v>0.55000000000000004</v>
      </c>
      <c r="R563" s="1" t="s">
        <v>1767</v>
      </c>
      <c r="S563" t="s">
        <v>1665</v>
      </c>
      <c r="T563" s="3">
        <v>0.55000000000000004</v>
      </c>
      <c r="U563" s="1" t="s">
        <v>1767</v>
      </c>
      <c r="V563" t="s">
        <v>1665</v>
      </c>
      <c r="W563" s="3">
        <v>0.55000000000000004</v>
      </c>
      <c r="X563"/>
      <c r="Z563"/>
    </row>
    <row r="564" spans="12:26" x14ac:dyDescent="0.35">
      <c r="L564" s="1" t="s">
        <v>1767</v>
      </c>
      <c r="M564" t="s">
        <v>1666</v>
      </c>
      <c r="N564" s="3">
        <v>0.55000000000000004</v>
      </c>
      <c r="O564" s="1" t="s">
        <v>1767</v>
      </c>
      <c r="P564" t="s">
        <v>1666</v>
      </c>
      <c r="Q564" s="3">
        <v>0.55000000000000004</v>
      </c>
      <c r="R564" s="1" t="s">
        <v>1767</v>
      </c>
      <c r="S564" t="s">
        <v>1666</v>
      </c>
      <c r="T564" s="3">
        <v>0.55000000000000004</v>
      </c>
      <c r="U564" s="1" t="s">
        <v>1767</v>
      </c>
      <c r="V564" t="s">
        <v>1666</v>
      </c>
      <c r="W564" s="3">
        <v>0.55000000000000004</v>
      </c>
      <c r="X564"/>
      <c r="Z564"/>
    </row>
    <row r="565" spans="12:26" x14ac:dyDescent="0.35">
      <c r="L565" s="1" t="s">
        <v>1767</v>
      </c>
      <c r="M565" t="s">
        <v>57</v>
      </c>
      <c r="N565" s="3">
        <v>0.4</v>
      </c>
      <c r="O565" s="1" t="s">
        <v>1767</v>
      </c>
      <c r="P565" t="s">
        <v>57</v>
      </c>
      <c r="Q565" s="3">
        <v>0.4</v>
      </c>
      <c r="R565" s="1" t="s">
        <v>1767</v>
      </c>
      <c r="S565" t="s">
        <v>57</v>
      </c>
      <c r="T565" s="3">
        <v>0.4</v>
      </c>
      <c r="U565" s="1" t="s">
        <v>1767</v>
      </c>
      <c r="V565" t="s">
        <v>57</v>
      </c>
      <c r="W565" s="3">
        <v>0.4</v>
      </c>
      <c r="X565"/>
      <c r="Z565"/>
    </row>
    <row r="566" spans="12:26" x14ac:dyDescent="0.35">
      <c r="L566" s="1" t="s">
        <v>1767</v>
      </c>
      <c r="M566" t="s">
        <v>1667</v>
      </c>
      <c r="N566" s="3">
        <v>0.75</v>
      </c>
      <c r="O566" s="1" t="s">
        <v>1767</v>
      </c>
      <c r="P566" t="s">
        <v>1667</v>
      </c>
      <c r="Q566" s="3">
        <v>0.75</v>
      </c>
      <c r="R566" s="1" t="s">
        <v>1767</v>
      </c>
      <c r="S566" t="s">
        <v>1667</v>
      </c>
      <c r="T566" s="3">
        <v>0.75</v>
      </c>
      <c r="U566" s="1" t="s">
        <v>1767</v>
      </c>
      <c r="V566" t="s">
        <v>1667</v>
      </c>
      <c r="W566" s="3">
        <v>0.75</v>
      </c>
      <c r="X566"/>
      <c r="Z566"/>
    </row>
    <row r="567" spans="12:26" x14ac:dyDescent="0.35">
      <c r="L567" s="1" t="s">
        <v>1767</v>
      </c>
      <c r="M567" t="s">
        <v>1668</v>
      </c>
      <c r="N567" s="3">
        <v>0.95</v>
      </c>
      <c r="O567" s="1" t="s">
        <v>1767</v>
      </c>
      <c r="P567" t="s">
        <v>1668</v>
      </c>
      <c r="Q567" s="3">
        <v>0.95</v>
      </c>
      <c r="R567" s="1" t="s">
        <v>1767</v>
      </c>
      <c r="S567" t="s">
        <v>1668</v>
      </c>
      <c r="T567" s="3">
        <v>0.95</v>
      </c>
      <c r="U567" s="1" t="s">
        <v>1767</v>
      </c>
      <c r="V567" t="s">
        <v>1668</v>
      </c>
      <c r="W567" s="3">
        <v>0.95</v>
      </c>
      <c r="X567"/>
      <c r="Z567"/>
    </row>
    <row r="568" spans="12:26" x14ac:dyDescent="0.35">
      <c r="L568" s="1" t="s">
        <v>1767</v>
      </c>
      <c r="M568" t="s">
        <v>1669</v>
      </c>
      <c r="N568" s="3">
        <v>1.05</v>
      </c>
      <c r="O568" s="1" t="s">
        <v>1767</v>
      </c>
      <c r="P568" t="s">
        <v>1669</v>
      </c>
      <c r="Q568" s="3">
        <v>1.05</v>
      </c>
      <c r="R568" s="1" t="s">
        <v>1767</v>
      </c>
      <c r="S568" t="s">
        <v>1669</v>
      </c>
      <c r="T568" s="3">
        <v>1.05</v>
      </c>
      <c r="U568" s="1" t="s">
        <v>1767</v>
      </c>
      <c r="V568" t="s">
        <v>1669</v>
      </c>
      <c r="W568" s="3">
        <v>1.05</v>
      </c>
      <c r="X568"/>
      <c r="Z568"/>
    </row>
    <row r="569" spans="12:26" x14ac:dyDescent="0.35">
      <c r="L569" s="1" t="s">
        <v>1767</v>
      </c>
      <c r="M569" t="s">
        <v>1670</v>
      </c>
      <c r="N569" s="3">
        <v>1.1499999999999999</v>
      </c>
      <c r="O569" s="1" t="s">
        <v>1767</v>
      </c>
      <c r="P569" t="s">
        <v>1670</v>
      </c>
      <c r="Q569" s="3">
        <v>1.1499999999999999</v>
      </c>
      <c r="R569" s="1" t="s">
        <v>1767</v>
      </c>
      <c r="S569" t="s">
        <v>1670</v>
      </c>
      <c r="T569" s="3">
        <v>1.1499999999999999</v>
      </c>
      <c r="U569" s="1" t="s">
        <v>1767</v>
      </c>
      <c r="V569" t="s">
        <v>1670</v>
      </c>
      <c r="W569" s="3">
        <v>1.1499999999999999</v>
      </c>
      <c r="X569"/>
      <c r="Z569"/>
    </row>
    <row r="570" spans="12:26" x14ac:dyDescent="0.35">
      <c r="L570" s="1" t="s">
        <v>1767</v>
      </c>
      <c r="M570" t="s">
        <v>58</v>
      </c>
      <c r="N570" s="3">
        <v>0.6</v>
      </c>
      <c r="O570" s="1" t="s">
        <v>1767</v>
      </c>
      <c r="P570" t="s">
        <v>58</v>
      </c>
      <c r="Q570" s="3">
        <v>0.6</v>
      </c>
      <c r="R570" s="1" t="s">
        <v>1767</v>
      </c>
      <c r="S570" t="s">
        <v>58</v>
      </c>
      <c r="T570" s="3">
        <v>0.6</v>
      </c>
      <c r="U570" s="1" t="s">
        <v>1767</v>
      </c>
      <c r="V570" t="s">
        <v>58</v>
      </c>
      <c r="W570" s="3">
        <v>0.6</v>
      </c>
      <c r="X570"/>
      <c r="Z570"/>
    </row>
    <row r="571" spans="12:26" x14ac:dyDescent="0.35">
      <c r="L571" s="1" t="s">
        <v>1767</v>
      </c>
      <c r="M571" t="s">
        <v>1671</v>
      </c>
      <c r="N571" s="3">
        <v>1.1499999999999999</v>
      </c>
      <c r="O571" s="1" t="s">
        <v>1767</v>
      </c>
      <c r="P571" t="s">
        <v>1671</v>
      </c>
      <c r="Q571" s="3">
        <v>1.1499999999999999</v>
      </c>
      <c r="R571" s="1" t="s">
        <v>1767</v>
      </c>
      <c r="S571" t="s">
        <v>1671</v>
      </c>
      <c r="T571" s="3">
        <v>1.1499999999999999</v>
      </c>
      <c r="U571" s="1" t="s">
        <v>1767</v>
      </c>
      <c r="V571" t="s">
        <v>1671</v>
      </c>
      <c r="W571" s="3">
        <v>1.1499999999999999</v>
      </c>
      <c r="X571"/>
      <c r="Z571"/>
    </row>
    <row r="572" spans="12:26" x14ac:dyDescent="0.35">
      <c r="L572" s="1" t="s">
        <v>1767</v>
      </c>
      <c r="M572" t="s">
        <v>1672</v>
      </c>
      <c r="N572" s="3">
        <v>1.45</v>
      </c>
      <c r="O572" s="1" t="s">
        <v>1767</v>
      </c>
      <c r="P572" t="s">
        <v>1672</v>
      </c>
      <c r="Q572" s="3">
        <v>1.45</v>
      </c>
      <c r="R572" s="1" t="s">
        <v>1767</v>
      </c>
      <c r="S572" t="s">
        <v>1672</v>
      </c>
      <c r="T572" s="3">
        <v>1.45</v>
      </c>
      <c r="U572" s="1" t="s">
        <v>1767</v>
      </c>
      <c r="V572" t="s">
        <v>1672</v>
      </c>
      <c r="W572" s="3">
        <v>1.45</v>
      </c>
      <c r="X572"/>
      <c r="Z572"/>
    </row>
    <row r="573" spans="12:26" x14ac:dyDescent="0.35">
      <c r="L573" s="1" t="s">
        <v>1767</v>
      </c>
      <c r="M573" t="s">
        <v>1673</v>
      </c>
      <c r="N573" s="3">
        <v>1.75</v>
      </c>
      <c r="O573" s="1" t="s">
        <v>1767</v>
      </c>
      <c r="P573" t="s">
        <v>1673</v>
      </c>
      <c r="Q573" s="3">
        <v>1.75</v>
      </c>
      <c r="R573" s="1" t="s">
        <v>1767</v>
      </c>
      <c r="S573" t="s">
        <v>1673</v>
      </c>
      <c r="T573" s="3">
        <v>1.75</v>
      </c>
      <c r="U573" s="1" t="s">
        <v>1767</v>
      </c>
      <c r="V573" t="s">
        <v>1673</v>
      </c>
      <c r="W573" s="3">
        <v>1.75</v>
      </c>
      <c r="X573"/>
      <c r="Z573"/>
    </row>
    <row r="574" spans="12:26" x14ac:dyDescent="0.35">
      <c r="L574" s="1" t="s">
        <v>1767</v>
      </c>
      <c r="M574" t="s">
        <v>59</v>
      </c>
      <c r="N574" s="3">
        <v>0.8</v>
      </c>
      <c r="O574" s="1" t="s">
        <v>1767</v>
      </c>
      <c r="P574" t="s">
        <v>59</v>
      </c>
      <c r="Q574" s="3">
        <v>0.8</v>
      </c>
      <c r="R574" s="1" t="s">
        <v>1767</v>
      </c>
      <c r="S574" t="s">
        <v>59</v>
      </c>
      <c r="T574" s="3">
        <v>0.8</v>
      </c>
      <c r="U574" s="1" t="s">
        <v>1767</v>
      </c>
      <c r="V574" t="s">
        <v>59</v>
      </c>
      <c r="W574" s="3">
        <v>0.8</v>
      </c>
      <c r="X574"/>
      <c r="Z574"/>
    </row>
    <row r="575" spans="12:26" x14ac:dyDescent="0.35">
      <c r="L575" s="1" t="s">
        <v>1767</v>
      </c>
      <c r="M575" t="s">
        <v>1674</v>
      </c>
      <c r="N575" s="3">
        <v>1.55</v>
      </c>
      <c r="O575" s="1" t="s">
        <v>1767</v>
      </c>
      <c r="P575" t="s">
        <v>1674</v>
      </c>
      <c r="Q575" s="3">
        <v>1.55</v>
      </c>
      <c r="R575" s="1" t="s">
        <v>1767</v>
      </c>
      <c r="S575" t="s">
        <v>1674</v>
      </c>
      <c r="T575" s="3">
        <v>1.55</v>
      </c>
      <c r="U575" s="1" t="s">
        <v>1767</v>
      </c>
      <c r="V575" t="s">
        <v>1674</v>
      </c>
      <c r="W575" s="3">
        <v>1.55</v>
      </c>
      <c r="X575"/>
      <c r="Z575"/>
    </row>
    <row r="576" spans="12:26" x14ac:dyDescent="0.35">
      <c r="L576" s="1" t="s">
        <v>1767</v>
      </c>
      <c r="M576" t="s">
        <v>1675</v>
      </c>
      <c r="N576" s="3">
        <v>1.95</v>
      </c>
      <c r="O576" s="1" t="s">
        <v>1767</v>
      </c>
      <c r="P576" t="s">
        <v>1675</v>
      </c>
      <c r="Q576" s="3">
        <v>1.95</v>
      </c>
      <c r="R576" s="1" t="s">
        <v>1767</v>
      </c>
      <c r="S576" t="s">
        <v>1675</v>
      </c>
      <c r="T576" s="3">
        <v>1.95</v>
      </c>
      <c r="U576" s="1" t="s">
        <v>1767</v>
      </c>
      <c r="V576" t="s">
        <v>1675</v>
      </c>
      <c r="W576" s="3">
        <v>1.95</v>
      </c>
      <c r="X576"/>
      <c r="Z576"/>
    </row>
    <row r="577" spans="12:26" x14ac:dyDescent="0.35">
      <c r="L577" s="1" t="s">
        <v>1767</v>
      </c>
      <c r="M577" t="s">
        <v>1676</v>
      </c>
      <c r="N577" s="3">
        <v>2.15</v>
      </c>
      <c r="O577" s="1" t="s">
        <v>1767</v>
      </c>
      <c r="P577" t="s">
        <v>1676</v>
      </c>
      <c r="Q577" s="3">
        <v>2.15</v>
      </c>
      <c r="R577" s="1" t="s">
        <v>1767</v>
      </c>
      <c r="S577" t="s">
        <v>1676</v>
      </c>
      <c r="T577" s="3">
        <v>2.15</v>
      </c>
      <c r="U577" s="1" t="s">
        <v>1767</v>
      </c>
      <c r="V577" t="s">
        <v>1676</v>
      </c>
      <c r="W577" s="3">
        <v>2.15</v>
      </c>
      <c r="X577"/>
      <c r="Z577"/>
    </row>
    <row r="578" spans="12:26" x14ac:dyDescent="0.35">
      <c r="L578" s="1" t="s">
        <v>1767</v>
      </c>
      <c r="M578" t="s">
        <v>1677</v>
      </c>
      <c r="N578" s="3">
        <v>2.35</v>
      </c>
      <c r="O578" s="1" t="s">
        <v>1767</v>
      </c>
      <c r="P578" t="s">
        <v>1677</v>
      </c>
      <c r="Q578" s="3">
        <v>2.35</v>
      </c>
      <c r="R578" s="1" t="s">
        <v>1767</v>
      </c>
      <c r="S578" t="s">
        <v>1677</v>
      </c>
      <c r="T578" s="3">
        <v>2.35</v>
      </c>
      <c r="U578" s="1" t="s">
        <v>1767</v>
      </c>
      <c r="V578" t="s">
        <v>1677</v>
      </c>
      <c r="W578" s="3">
        <v>2.35</v>
      </c>
      <c r="X578"/>
      <c r="Z578"/>
    </row>
    <row r="579" spans="12:26" x14ac:dyDescent="0.35">
      <c r="L579" s="1" t="s">
        <v>1767</v>
      </c>
      <c r="M579" t="s">
        <v>1678</v>
      </c>
      <c r="N579" s="3">
        <v>1.95</v>
      </c>
      <c r="O579" s="1" t="s">
        <v>1767</v>
      </c>
      <c r="P579" t="s">
        <v>1678</v>
      </c>
      <c r="Q579" s="3">
        <v>1.95</v>
      </c>
      <c r="R579" s="1" t="s">
        <v>1767</v>
      </c>
      <c r="S579" t="s">
        <v>1678</v>
      </c>
      <c r="T579" s="3">
        <v>1.95</v>
      </c>
      <c r="U579" s="1" t="s">
        <v>1767</v>
      </c>
      <c r="V579" t="s">
        <v>1678</v>
      </c>
      <c r="W579" s="3">
        <v>1.95</v>
      </c>
      <c r="X579"/>
      <c r="Z579"/>
    </row>
    <row r="580" spans="12:26" x14ac:dyDescent="0.35">
      <c r="L580" s="1" t="s">
        <v>1767</v>
      </c>
      <c r="M580" t="s">
        <v>1679</v>
      </c>
      <c r="N580" s="3">
        <v>2.4500000000000002</v>
      </c>
      <c r="O580" s="1" t="s">
        <v>1767</v>
      </c>
      <c r="P580" t="s">
        <v>1679</v>
      </c>
      <c r="Q580" s="3">
        <v>2.4500000000000002</v>
      </c>
      <c r="R580" s="1" t="s">
        <v>1767</v>
      </c>
      <c r="S580" t="s">
        <v>1679</v>
      </c>
      <c r="T580" s="3">
        <v>2.4500000000000002</v>
      </c>
      <c r="U580" s="1" t="s">
        <v>1767</v>
      </c>
      <c r="V580" t="s">
        <v>1679</v>
      </c>
      <c r="W580" s="3">
        <v>2.4500000000000002</v>
      </c>
      <c r="X580"/>
      <c r="Z580"/>
    </row>
    <row r="581" spans="12:26" x14ac:dyDescent="0.35">
      <c r="L581" s="1" t="s">
        <v>1767</v>
      </c>
      <c r="M581" t="s">
        <v>1680</v>
      </c>
      <c r="N581" s="3">
        <v>2.95</v>
      </c>
      <c r="O581" s="1" t="s">
        <v>1767</v>
      </c>
      <c r="P581" t="s">
        <v>1680</v>
      </c>
      <c r="Q581" s="3">
        <v>2.95</v>
      </c>
      <c r="R581" s="1" t="s">
        <v>1767</v>
      </c>
      <c r="S581" t="s">
        <v>1680</v>
      </c>
      <c r="T581" s="3">
        <v>2.95</v>
      </c>
      <c r="U581" s="1" t="s">
        <v>1767</v>
      </c>
      <c r="V581" t="s">
        <v>1680</v>
      </c>
      <c r="W581" s="3">
        <v>2.95</v>
      </c>
      <c r="X581"/>
      <c r="Z581"/>
    </row>
    <row r="582" spans="12:26" x14ac:dyDescent="0.35">
      <c r="L582" s="1" t="s">
        <v>1767</v>
      </c>
      <c r="M582" t="s">
        <v>1681</v>
      </c>
      <c r="N582" s="3">
        <v>2.35</v>
      </c>
      <c r="O582" s="1" t="s">
        <v>1767</v>
      </c>
      <c r="P582" t="s">
        <v>1681</v>
      </c>
      <c r="Q582" s="3">
        <v>2.35</v>
      </c>
      <c r="R582" s="1" t="s">
        <v>1767</v>
      </c>
      <c r="S582" t="s">
        <v>1681</v>
      </c>
      <c r="T582" s="3">
        <v>2.35</v>
      </c>
      <c r="U582" s="1" t="s">
        <v>1767</v>
      </c>
      <c r="V582" t="s">
        <v>1681</v>
      </c>
      <c r="W582" s="3">
        <v>2.35</v>
      </c>
      <c r="X582"/>
      <c r="Z582"/>
    </row>
    <row r="583" spans="12:26" x14ac:dyDescent="0.35">
      <c r="L583" s="1" t="s">
        <v>1767</v>
      </c>
      <c r="M583" t="s">
        <v>1682</v>
      </c>
      <c r="N583" s="3">
        <v>2.95</v>
      </c>
      <c r="O583" s="1" t="s">
        <v>1767</v>
      </c>
      <c r="P583" t="s">
        <v>1682</v>
      </c>
      <c r="Q583" s="3">
        <v>2.95</v>
      </c>
      <c r="R583" s="1" t="s">
        <v>1767</v>
      </c>
      <c r="S583" t="s">
        <v>1682</v>
      </c>
      <c r="T583" s="3">
        <v>2.95</v>
      </c>
      <c r="U583" s="1" t="s">
        <v>1767</v>
      </c>
      <c r="V583" t="s">
        <v>1682</v>
      </c>
      <c r="W583" s="3">
        <v>2.95</v>
      </c>
      <c r="X583"/>
      <c r="Z583"/>
    </row>
    <row r="584" spans="12:26" x14ac:dyDescent="0.35">
      <c r="L584" s="1" t="s">
        <v>1767</v>
      </c>
      <c r="M584" t="s">
        <v>1683</v>
      </c>
      <c r="N584" s="3">
        <v>3.35</v>
      </c>
      <c r="O584" s="1" t="s">
        <v>1767</v>
      </c>
      <c r="P584" t="s">
        <v>1683</v>
      </c>
      <c r="Q584" s="3">
        <v>3.35</v>
      </c>
      <c r="R584" s="1" t="s">
        <v>1767</v>
      </c>
      <c r="S584" t="s">
        <v>1683</v>
      </c>
      <c r="T584" s="3">
        <v>3.35</v>
      </c>
      <c r="U584" s="1" t="s">
        <v>1767</v>
      </c>
      <c r="V584" t="s">
        <v>1683</v>
      </c>
      <c r="W584" s="3">
        <v>3.35</v>
      </c>
      <c r="X584"/>
      <c r="Z584"/>
    </row>
    <row r="585" spans="12:26" x14ac:dyDescent="0.35">
      <c r="L585" s="1" t="s">
        <v>1767</v>
      </c>
      <c r="M585" t="s">
        <v>1684</v>
      </c>
      <c r="N585" s="3">
        <v>3.55</v>
      </c>
      <c r="O585" s="1" t="s">
        <v>1767</v>
      </c>
      <c r="P585" t="s">
        <v>1684</v>
      </c>
      <c r="Q585" s="3">
        <v>3.55</v>
      </c>
      <c r="R585" s="1" t="s">
        <v>1767</v>
      </c>
      <c r="S585" t="s">
        <v>1684</v>
      </c>
      <c r="T585" s="3">
        <v>3.55</v>
      </c>
      <c r="U585" s="1" t="s">
        <v>1767</v>
      </c>
      <c r="V585" t="s">
        <v>1684</v>
      </c>
      <c r="W585" s="3">
        <v>3.55</v>
      </c>
      <c r="X585"/>
      <c r="Z585"/>
    </row>
    <row r="586" spans="12:26" x14ac:dyDescent="0.35">
      <c r="L586" s="1" t="s">
        <v>1767</v>
      </c>
      <c r="M586" t="s">
        <v>1685</v>
      </c>
      <c r="N586" s="3">
        <v>3.45</v>
      </c>
      <c r="O586" s="1" t="s">
        <v>1767</v>
      </c>
      <c r="P586" t="s">
        <v>1685</v>
      </c>
      <c r="Q586" s="3">
        <v>3.45</v>
      </c>
      <c r="R586" s="1" t="s">
        <v>1767</v>
      </c>
      <c r="S586" t="s">
        <v>1685</v>
      </c>
      <c r="T586" s="3">
        <v>3.45</v>
      </c>
      <c r="U586" s="1" t="s">
        <v>1767</v>
      </c>
      <c r="V586" t="s">
        <v>1685</v>
      </c>
      <c r="W586" s="3">
        <v>3.45</v>
      </c>
      <c r="X586"/>
      <c r="Z586"/>
    </row>
    <row r="587" spans="12:26" x14ac:dyDescent="0.35">
      <c r="L587" s="1" t="s">
        <v>1767</v>
      </c>
      <c r="M587" t="s">
        <v>1686</v>
      </c>
      <c r="N587" s="3">
        <v>4.1500000000000004</v>
      </c>
      <c r="O587" s="1" t="s">
        <v>1767</v>
      </c>
      <c r="P587" t="s">
        <v>1686</v>
      </c>
      <c r="Q587" s="3">
        <v>4.1500000000000004</v>
      </c>
      <c r="R587" s="1" t="s">
        <v>1767</v>
      </c>
      <c r="S587" t="s">
        <v>1686</v>
      </c>
      <c r="T587" s="3">
        <v>4.1500000000000004</v>
      </c>
      <c r="U587" s="1" t="s">
        <v>1767</v>
      </c>
      <c r="V587" t="s">
        <v>1686</v>
      </c>
      <c r="W587" s="3">
        <v>4.1500000000000004</v>
      </c>
      <c r="X587"/>
      <c r="Z587"/>
    </row>
    <row r="588" spans="12:26" x14ac:dyDescent="0.35">
      <c r="L588" s="1" t="s">
        <v>1767</v>
      </c>
      <c r="M588" t="s">
        <v>1687</v>
      </c>
      <c r="N588" s="3">
        <v>3.95</v>
      </c>
      <c r="O588" s="1" t="s">
        <v>1767</v>
      </c>
      <c r="P588" t="s">
        <v>1687</v>
      </c>
      <c r="Q588" s="3">
        <v>3.95</v>
      </c>
      <c r="R588" s="1" t="s">
        <v>1767</v>
      </c>
      <c r="S588" t="s">
        <v>1687</v>
      </c>
      <c r="T588" s="3">
        <v>3.95</v>
      </c>
      <c r="U588" s="1" t="s">
        <v>1767</v>
      </c>
      <c r="V588" t="s">
        <v>1687</v>
      </c>
      <c r="W588" s="3">
        <v>3.95</v>
      </c>
      <c r="X588"/>
      <c r="Z588"/>
    </row>
    <row r="589" spans="12:26" x14ac:dyDescent="0.35">
      <c r="L589" s="1" t="s">
        <v>1767</v>
      </c>
      <c r="M589" t="s">
        <v>1688</v>
      </c>
      <c r="N589" s="3">
        <v>4.75</v>
      </c>
      <c r="O589" s="1" t="s">
        <v>1767</v>
      </c>
      <c r="P589" t="s">
        <v>1688</v>
      </c>
      <c r="Q589" s="3">
        <v>4.75</v>
      </c>
      <c r="R589" s="1" t="s">
        <v>1767</v>
      </c>
      <c r="S589" t="s">
        <v>1688</v>
      </c>
      <c r="T589" s="3">
        <v>4.75</v>
      </c>
      <c r="U589" s="1" t="s">
        <v>1767</v>
      </c>
      <c r="V589" t="s">
        <v>1688</v>
      </c>
      <c r="W589" s="3">
        <v>4.75</v>
      </c>
      <c r="X589"/>
      <c r="Z589"/>
    </row>
    <row r="590" spans="12:26" x14ac:dyDescent="0.35">
      <c r="L590" s="1" t="s">
        <v>1767</v>
      </c>
      <c r="M590" t="s">
        <v>1689</v>
      </c>
      <c r="N590" s="3">
        <v>4.45</v>
      </c>
      <c r="O590" s="1" t="s">
        <v>1767</v>
      </c>
      <c r="P590" t="s">
        <v>1689</v>
      </c>
      <c r="Q590" s="3">
        <v>4.45</v>
      </c>
      <c r="R590" s="1" t="s">
        <v>1767</v>
      </c>
      <c r="S590" t="s">
        <v>1689</v>
      </c>
      <c r="T590" s="3">
        <v>4.45</v>
      </c>
      <c r="U590" s="1" t="s">
        <v>1767</v>
      </c>
      <c r="V590" t="s">
        <v>1689</v>
      </c>
      <c r="W590" s="3">
        <v>4.45</v>
      </c>
      <c r="X590"/>
      <c r="Z590"/>
    </row>
    <row r="591" spans="12:26" x14ac:dyDescent="0.35">
      <c r="L591" s="1" t="s">
        <v>1767</v>
      </c>
      <c r="M591" t="s">
        <v>1690</v>
      </c>
      <c r="N591" s="3">
        <v>5.35</v>
      </c>
      <c r="O591" s="1" t="s">
        <v>1767</v>
      </c>
      <c r="P591" t="s">
        <v>1690</v>
      </c>
      <c r="Q591" s="3">
        <v>5.35</v>
      </c>
      <c r="R591" s="1" t="s">
        <v>1767</v>
      </c>
      <c r="S591" t="s">
        <v>1690</v>
      </c>
      <c r="T591" s="3">
        <v>5.35</v>
      </c>
      <c r="U591" s="1" t="s">
        <v>1767</v>
      </c>
      <c r="V591" t="s">
        <v>1690</v>
      </c>
      <c r="W591" s="3">
        <v>5.35</v>
      </c>
      <c r="X591"/>
      <c r="Z591"/>
    </row>
    <row r="592" spans="12:26" x14ac:dyDescent="0.35">
      <c r="L592" s="1" t="s">
        <v>1767</v>
      </c>
      <c r="M592" t="s">
        <v>1691</v>
      </c>
      <c r="N592" s="3">
        <v>4.95</v>
      </c>
      <c r="O592" s="1" t="s">
        <v>1767</v>
      </c>
      <c r="P592" t="s">
        <v>1691</v>
      </c>
      <c r="Q592" s="3">
        <v>4.95</v>
      </c>
      <c r="R592" s="1" t="s">
        <v>1767</v>
      </c>
      <c r="S592" t="s">
        <v>1691</v>
      </c>
      <c r="T592" s="3">
        <v>4.95</v>
      </c>
      <c r="U592" s="1" t="s">
        <v>1767</v>
      </c>
      <c r="V592" t="s">
        <v>1691</v>
      </c>
      <c r="W592" s="3">
        <v>4.95</v>
      </c>
      <c r="X592"/>
      <c r="Z592"/>
    </row>
    <row r="593" spans="12:26" x14ac:dyDescent="0.35">
      <c r="L593" s="1" t="s">
        <v>1767</v>
      </c>
      <c r="M593" t="s">
        <v>1692</v>
      </c>
      <c r="N593" s="3">
        <v>5.95</v>
      </c>
      <c r="O593" s="1" t="s">
        <v>1767</v>
      </c>
      <c r="P593" t="s">
        <v>1692</v>
      </c>
      <c r="Q593" s="3">
        <v>5.95</v>
      </c>
      <c r="R593" s="1" t="s">
        <v>1767</v>
      </c>
      <c r="S593" t="s">
        <v>1692</v>
      </c>
      <c r="T593" s="3">
        <v>5.95</v>
      </c>
      <c r="U593" s="1" t="s">
        <v>1767</v>
      </c>
      <c r="V593" t="s">
        <v>1692</v>
      </c>
      <c r="W593" s="3">
        <v>5.95</v>
      </c>
      <c r="X593"/>
      <c r="Z593"/>
    </row>
    <row r="594" spans="12:26" x14ac:dyDescent="0.35">
      <c r="L594" s="1" t="s">
        <v>1631</v>
      </c>
      <c r="M594" t="s">
        <v>1693</v>
      </c>
      <c r="N594" s="3">
        <v>0.05</v>
      </c>
      <c r="O594" s="1" t="s">
        <v>1631</v>
      </c>
      <c r="P594" t="s">
        <v>1693</v>
      </c>
      <c r="Q594" s="3">
        <v>0.05</v>
      </c>
      <c r="R594" s="1" t="s">
        <v>1631</v>
      </c>
      <c r="S594" t="s">
        <v>1693</v>
      </c>
      <c r="T594" s="3">
        <v>0.05</v>
      </c>
      <c r="U594" s="1" t="s">
        <v>1631</v>
      </c>
      <c r="V594" t="s">
        <v>1693</v>
      </c>
      <c r="W594" s="3">
        <v>0.05</v>
      </c>
      <c r="X594"/>
      <c r="Z594"/>
    </row>
    <row r="595" spans="12:26" x14ac:dyDescent="0.35">
      <c r="L595" s="1" t="s">
        <v>1631</v>
      </c>
      <c r="M595" t="s">
        <v>1800</v>
      </c>
      <c r="N595" s="3">
        <v>0.1</v>
      </c>
      <c r="O595" s="1" t="s">
        <v>1631</v>
      </c>
      <c r="P595" t="s">
        <v>1800</v>
      </c>
      <c r="Q595" s="3">
        <v>0.1</v>
      </c>
      <c r="R595" s="1" t="s">
        <v>1631</v>
      </c>
      <c r="S595" t="s">
        <v>1800</v>
      </c>
      <c r="T595" s="3">
        <v>0.1</v>
      </c>
      <c r="U595" s="1" t="s">
        <v>1631</v>
      </c>
      <c r="V595" t="s">
        <v>1800</v>
      </c>
      <c r="W595" s="3">
        <v>0.1</v>
      </c>
      <c r="X595"/>
      <c r="Z595"/>
    </row>
    <row r="596" spans="12:26" x14ac:dyDescent="0.35">
      <c r="L596" s="1" t="s">
        <v>1631</v>
      </c>
      <c r="M596" t="s">
        <v>1801</v>
      </c>
      <c r="N596" s="3">
        <v>0.1</v>
      </c>
      <c r="O596" s="1" t="s">
        <v>1631</v>
      </c>
      <c r="P596" t="s">
        <v>1801</v>
      </c>
      <c r="Q596" s="3">
        <v>0.1</v>
      </c>
      <c r="R596" s="1" t="s">
        <v>1631</v>
      </c>
      <c r="S596" t="s">
        <v>1801</v>
      </c>
      <c r="T596" s="3">
        <v>0.1</v>
      </c>
      <c r="U596" s="1" t="s">
        <v>1631</v>
      </c>
      <c r="V596" t="s">
        <v>1801</v>
      </c>
      <c r="W596" s="3">
        <v>0.1</v>
      </c>
      <c r="X596"/>
      <c r="Z596"/>
    </row>
    <row r="597" spans="12:26" x14ac:dyDescent="0.35">
      <c r="L597" s="1" t="s">
        <v>1631</v>
      </c>
      <c r="M597" t="s">
        <v>1802</v>
      </c>
      <c r="N597" s="3">
        <v>0.1</v>
      </c>
      <c r="O597" s="1" t="s">
        <v>1631</v>
      </c>
      <c r="P597" t="s">
        <v>1802</v>
      </c>
      <c r="Q597" s="3">
        <v>0.1</v>
      </c>
      <c r="R597" s="1" t="s">
        <v>1631</v>
      </c>
      <c r="S597" t="s">
        <v>1802</v>
      </c>
      <c r="T597" s="3">
        <v>0.1</v>
      </c>
      <c r="U597" s="1" t="s">
        <v>1631</v>
      </c>
      <c r="V597" t="s">
        <v>1802</v>
      </c>
      <c r="W597" s="3">
        <v>0.1</v>
      </c>
      <c r="X597"/>
      <c r="Z597"/>
    </row>
    <row r="598" spans="12:26" x14ac:dyDescent="0.35">
      <c r="L598" s="1" t="s">
        <v>1631</v>
      </c>
      <c r="M598" t="s">
        <v>1803</v>
      </c>
      <c r="N598" s="3">
        <v>0.1</v>
      </c>
      <c r="O598" s="1" t="s">
        <v>1631</v>
      </c>
      <c r="P598" t="s">
        <v>1803</v>
      </c>
      <c r="Q598" s="3">
        <v>0.1</v>
      </c>
      <c r="R598" s="1" t="s">
        <v>1631</v>
      </c>
      <c r="S598" t="s">
        <v>1803</v>
      </c>
      <c r="T598" s="3">
        <v>0.1</v>
      </c>
      <c r="U598" s="1" t="s">
        <v>1631</v>
      </c>
      <c r="V598" t="s">
        <v>1803</v>
      </c>
      <c r="W598" s="3">
        <v>0.1</v>
      </c>
      <c r="X598"/>
      <c r="Z598"/>
    </row>
    <row r="599" spans="12:26" x14ac:dyDescent="0.35">
      <c r="L599" s="1" t="s">
        <v>1631</v>
      </c>
      <c r="M599" t="s">
        <v>1804</v>
      </c>
      <c r="N599" s="3">
        <v>0.15</v>
      </c>
      <c r="O599" s="1" t="s">
        <v>1631</v>
      </c>
      <c r="P599" t="s">
        <v>1804</v>
      </c>
      <c r="Q599" s="3">
        <v>0.15</v>
      </c>
      <c r="R599" s="1" t="s">
        <v>1631</v>
      </c>
      <c r="S599" t="s">
        <v>1804</v>
      </c>
      <c r="T599" s="3">
        <v>0.15</v>
      </c>
      <c r="U599" s="1" t="s">
        <v>1631</v>
      </c>
      <c r="V599" t="s">
        <v>1804</v>
      </c>
      <c r="W599" s="3">
        <v>0.15</v>
      </c>
      <c r="X599"/>
      <c r="Z599"/>
    </row>
    <row r="600" spans="12:26" x14ac:dyDescent="0.35">
      <c r="L600" s="1" t="s">
        <v>1631</v>
      </c>
      <c r="M600" t="s">
        <v>1805</v>
      </c>
      <c r="N600" s="3">
        <v>0.15</v>
      </c>
      <c r="O600" s="1" t="s">
        <v>1631</v>
      </c>
      <c r="P600" t="s">
        <v>1805</v>
      </c>
      <c r="Q600" s="3">
        <v>0.15</v>
      </c>
      <c r="R600" s="1" t="s">
        <v>1631</v>
      </c>
      <c r="S600" t="s">
        <v>1805</v>
      </c>
      <c r="T600" s="3">
        <v>0.15</v>
      </c>
      <c r="U600" s="1" t="s">
        <v>1631</v>
      </c>
      <c r="V600" t="s">
        <v>1805</v>
      </c>
      <c r="W600" s="3">
        <v>0.15</v>
      </c>
      <c r="X600"/>
      <c r="Z600"/>
    </row>
    <row r="601" spans="12:26" x14ac:dyDescent="0.35">
      <c r="L601" s="1" t="s">
        <v>1631</v>
      </c>
      <c r="M601" t="s">
        <v>1806</v>
      </c>
      <c r="N601" s="3">
        <v>0.2</v>
      </c>
      <c r="O601" s="1" t="s">
        <v>1631</v>
      </c>
      <c r="P601" t="s">
        <v>1806</v>
      </c>
      <c r="Q601" s="3">
        <v>0.2</v>
      </c>
      <c r="R601" s="1" t="s">
        <v>1631</v>
      </c>
      <c r="S601" t="s">
        <v>1806</v>
      </c>
      <c r="T601" s="3">
        <v>0.2</v>
      </c>
      <c r="U601" s="1" t="s">
        <v>1631</v>
      </c>
      <c r="V601" t="s">
        <v>1806</v>
      </c>
      <c r="W601" s="3">
        <v>0.2</v>
      </c>
      <c r="X601"/>
      <c r="Z601"/>
    </row>
    <row r="602" spans="12:26" x14ac:dyDescent="0.35">
      <c r="L602" s="1" t="s">
        <v>1631</v>
      </c>
      <c r="M602" t="s">
        <v>1807</v>
      </c>
      <c r="N602" s="3">
        <v>0.2</v>
      </c>
      <c r="O602" s="1" t="s">
        <v>1631</v>
      </c>
      <c r="P602" t="s">
        <v>1807</v>
      </c>
      <c r="Q602" s="3">
        <v>0.2</v>
      </c>
      <c r="R602" s="1" t="s">
        <v>1631</v>
      </c>
      <c r="S602" t="s">
        <v>1807</v>
      </c>
      <c r="T602" s="3">
        <v>0.2</v>
      </c>
      <c r="U602" s="1" t="s">
        <v>1631</v>
      </c>
      <c r="V602" t="s">
        <v>1807</v>
      </c>
      <c r="W602" s="3">
        <v>0.2</v>
      </c>
      <c r="X602"/>
      <c r="Z602"/>
    </row>
    <row r="603" spans="12:26" x14ac:dyDescent="0.35">
      <c r="L603" s="1" t="s">
        <v>1631</v>
      </c>
      <c r="M603" t="s">
        <v>1808</v>
      </c>
      <c r="N603" s="3">
        <v>0.45</v>
      </c>
      <c r="O603" s="1" t="s">
        <v>1631</v>
      </c>
      <c r="P603" t="s">
        <v>1808</v>
      </c>
      <c r="Q603" s="3">
        <v>0.45</v>
      </c>
      <c r="R603" s="1" t="s">
        <v>1631</v>
      </c>
      <c r="S603" t="s">
        <v>1808</v>
      </c>
      <c r="T603" s="3">
        <v>0.45</v>
      </c>
      <c r="U603" s="1" t="s">
        <v>1631</v>
      </c>
      <c r="V603" t="s">
        <v>1808</v>
      </c>
      <c r="W603" s="3">
        <v>0.45</v>
      </c>
      <c r="X603"/>
      <c r="Z603"/>
    </row>
    <row r="604" spans="12:26" x14ac:dyDescent="0.35">
      <c r="L604" s="1" t="s">
        <v>1631</v>
      </c>
      <c r="M604" t="s">
        <v>1809</v>
      </c>
      <c r="N604" s="3">
        <v>0.45</v>
      </c>
      <c r="O604" s="1" t="s">
        <v>1631</v>
      </c>
      <c r="P604" t="s">
        <v>1809</v>
      </c>
      <c r="Q604" s="3">
        <v>0.45</v>
      </c>
      <c r="R604" s="1" t="s">
        <v>1631</v>
      </c>
      <c r="S604" t="s">
        <v>1809</v>
      </c>
      <c r="T604" s="3">
        <v>0.45</v>
      </c>
      <c r="U604" s="1" t="s">
        <v>1631</v>
      </c>
      <c r="V604" t="s">
        <v>1809</v>
      </c>
      <c r="W604" s="3">
        <v>0.45</v>
      </c>
      <c r="X604"/>
      <c r="Z604"/>
    </row>
    <row r="605" spans="12:26" x14ac:dyDescent="0.35">
      <c r="L605" s="1" t="s">
        <v>1631</v>
      </c>
      <c r="M605" t="s">
        <v>1694</v>
      </c>
      <c r="N605" s="3">
        <v>0.65</v>
      </c>
      <c r="O605" s="1" t="s">
        <v>1631</v>
      </c>
      <c r="P605" t="s">
        <v>1694</v>
      </c>
      <c r="Q605" s="3">
        <v>0.65</v>
      </c>
      <c r="R605" s="1" t="s">
        <v>1631</v>
      </c>
      <c r="S605" t="s">
        <v>1694</v>
      </c>
      <c r="T605" s="3">
        <v>0.65</v>
      </c>
      <c r="U605" s="1" t="s">
        <v>1631</v>
      </c>
      <c r="V605" t="s">
        <v>1694</v>
      </c>
      <c r="W605" s="3">
        <v>0.65</v>
      </c>
      <c r="X605"/>
      <c r="Z605"/>
    </row>
    <row r="606" spans="12:26" x14ac:dyDescent="0.35">
      <c r="L606" s="1" t="s">
        <v>1631</v>
      </c>
      <c r="M606" t="s">
        <v>1695</v>
      </c>
      <c r="N606" s="3">
        <v>1.1499999999999999</v>
      </c>
      <c r="O606" s="1" t="s">
        <v>1631</v>
      </c>
      <c r="P606" t="s">
        <v>1695</v>
      </c>
      <c r="Q606" s="3">
        <v>1.1499999999999999</v>
      </c>
      <c r="R606" s="1" t="s">
        <v>1631</v>
      </c>
      <c r="S606" t="s">
        <v>1695</v>
      </c>
      <c r="T606" s="3">
        <v>1.1499999999999999</v>
      </c>
      <c r="U606" s="1" t="s">
        <v>1631</v>
      </c>
      <c r="V606" t="s">
        <v>1695</v>
      </c>
      <c r="W606" s="3">
        <v>1.1499999999999999</v>
      </c>
      <c r="X606"/>
      <c r="Z606"/>
    </row>
    <row r="607" spans="12:26" x14ac:dyDescent="0.35">
      <c r="L607" s="1" t="s">
        <v>1631</v>
      </c>
      <c r="M607" t="s">
        <v>1696</v>
      </c>
      <c r="N607" s="3">
        <v>1.45</v>
      </c>
      <c r="O607" s="1" t="s">
        <v>1631</v>
      </c>
      <c r="P607" t="s">
        <v>1696</v>
      </c>
      <c r="Q607" s="3">
        <v>1.45</v>
      </c>
      <c r="R607" s="1" t="s">
        <v>1631</v>
      </c>
      <c r="S607" t="s">
        <v>1696</v>
      </c>
      <c r="T607" s="3">
        <v>1.45</v>
      </c>
      <c r="U607" s="1" t="s">
        <v>1631</v>
      </c>
      <c r="V607" t="s">
        <v>1696</v>
      </c>
      <c r="W607" s="3">
        <v>1.45</v>
      </c>
      <c r="X607"/>
      <c r="Z607"/>
    </row>
    <row r="608" spans="12:26" x14ac:dyDescent="0.35">
      <c r="L608" s="1" t="s">
        <v>1631</v>
      </c>
      <c r="M608" t="s">
        <v>1697</v>
      </c>
      <c r="N608" s="3">
        <v>1.65</v>
      </c>
      <c r="O608" s="1" t="s">
        <v>1631</v>
      </c>
      <c r="P608" t="s">
        <v>1697</v>
      </c>
      <c r="Q608" s="3">
        <v>1.65</v>
      </c>
      <c r="R608" s="1" t="s">
        <v>1631</v>
      </c>
      <c r="S608" t="s">
        <v>1697</v>
      </c>
      <c r="T608" s="3">
        <v>1.65</v>
      </c>
      <c r="U608" s="1" t="s">
        <v>1631</v>
      </c>
      <c r="V608" t="s">
        <v>1697</v>
      </c>
      <c r="W608" s="3">
        <v>1.65</v>
      </c>
      <c r="X608"/>
      <c r="Z608"/>
    </row>
    <row r="609" spans="12:26" x14ac:dyDescent="0.35">
      <c r="L609" s="1" t="s">
        <v>624</v>
      </c>
      <c r="M609" t="s">
        <v>1698</v>
      </c>
      <c r="N609" s="3">
        <v>0.05</v>
      </c>
      <c r="O609" s="1" t="s">
        <v>624</v>
      </c>
      <c r="P609" t="s">
        <v>1698</v>
      </c>
      <c r="Q609" s="3">
        <v>0.05</v>
      </c>
      <c r="R609" s="1" t="s">
        <v>624</v>
      </c>
      <c r="S609" t="s">
        <v>1698</v>
      </c>
      <c r="T609" s="3">
        <v>0.05</v>
      </c>
      <c r="U609" s="1" t="s">
        <v>624</v>
      </c>
      <c r="V609" t="s">
        <v>1698</v>
      </c>
      <c r="W609" s="3">
        <v>0.05</v>
      </c>
      <c r="X609"/>
      <c r="Z609"/>
    </row>
    <row r="610" spans="12:26" x14ac:dyDescent="0.35">
      <c r="L610" s="1" t="s">
        <v>624</v>
      </c>
      <c r="M610" t="s">
        <v>1810</v>
      </c>
      <c r="N610" s="3">
        <v>0.1</v>
      </c>
      <c r="O610" s="1" t="s">
        <v>624</v>
      </c>
      <c r="P610" t="s">
        <v>1810</v>
      </c>
      <c r="Q610" s="3">
        <v>0.1</v>
      </c>
      <c r="R610" s="1" t="s">
        <v>624</v>
      </c>
      <c r="S610" t="s">
        <v>1810</v>
      </c>
      <c r="T610" s="3">
        <v>0.1</v>
      </c>
      <c r="U610" s="1" t="s">
        <v>624</v>
      </c>
      <c r="V610" t="s">
        <v>1810</v>
      </c>
      <c r="W610" s="3">
        <v>0.1</v>
      </c>
      <c r="X610"/>
      <c r="Z610"/>
    </row>
    <row r="611" spans="12:26" x14ac:dyDescent="0.35">
      <c r="L611" s="1" t="s">
        <v>624</v>
      </c>
      <c r="M611" t="s">
        <v>1811</v>
      </c>
      <c r="N611" s="3">
        <v>0.1</v>
      </c>
      <c r="O611" s="1" t="s">
        <v>624</v>
      </c>
      <c r="P611" t="s">
        <v>1811</v>
      </c>
      <c r="Q611" s="3">
        <v>0.1</v>
      </c>
      <c r="R611" s="1" t="s">
        <v>624</v>
      </c>
      <c r="S611" t="s">
        <v>1811</v>
      </c>
      <c r="T611" s="3">
        <v>0.1</v>
      </c>
      <c r="U611" s="1" t="s">
        <v>624</v>
      </c>
      <c r="V611" t="s">
        <v>1811</v>
      </c>
      <c r="W611" s="3">
        <v>0.1</v>
      </c>
      <c r="X611"/>
      <c r="Z611"/>
    </row>
    <row r="612" spans="12:26" x14ac:dyDescent="0.35">
      <c r="L612" s="1" t="s">
        <v>624</v>
      </c>
      <c r="M612" t="s">
        <v>1812</v>
      </c>
      <c r="N612" s="3">
        <v>0.1</v>
      </c>
      <c r="O612" s="1" t="s">
        <v>624</v>
      </c>
      <c r="P612" t="s">
        <v>1812</v>
      </c>
      <c r="Q612" s="3">
        <v>0.1</v>
      </c>
      <c r="R612" s="1" t="s">
        <v>624</v>
      </c>
      <c r="S612" t="s">
        <v>1812</v>
      </c>
      <c r="T612" s="3">
        <v>0.1</v>
      </c>
      <c r="U612" s="1" t="s">
        <v>624</v>
      </c>
      <c r="V612" t="s">
        <v>1812</v>
      </c>
      <c r="W612" s="3">
        <v>0.1</v>
      </c>
      <c r="X612"/>
      <c r="Z612"/>
    </row>
    <row r="613" spans="12:26" x14ac:dyDescent="0.35">
      <c r="L613" s="1" t="s">
        <v>624</v>
      </c>
      <c r="M613" t="s">
        <v>1813</v>
      </c>
      <c r="N613" s="3">
        <v>0.2</v>
      </c>
      <c r="O613" s="1" t="s">
        <v>624</v>
      </c>
      <c r="P613" t="s">
        <v>1813</v>
      </c>
      <c r="Q613" s="3">
        <v>0.2</v>
      </c>
      <c r="R613" s="1" t="s">
        <v>624</v>
      </c>
      <c r="S613" t="s">
        <v>1813</v>
      </c>
      <c r="T613" s="3">
        <v>0.2</v>
      </c>
      <c r="U613" s="1" t="s">
        <v>624</v>
      </c>
      <c r="V613" t="s">
        <v>1813</v>
      </c>
      <c r="W613" s="3">
        <v>0.2</v>
      </c>
      <c r="X613"/>
      <c r="Z613"/>
    </row>
    <row r="614" spans="12:26" x14ac:dyDescent="0.35">
      <c r="L614" s="1" t="s">
        <v>624</v>
      </c>
      <c r="M614" t="s">
        <v>1814</v>
      </c>
      <c r="N614" s="3">
        <v>0.2</v>
      </c>
      <c r="O614" s="1" t="s">
        <v>624</v>
      </c>
      <c r="P614" t="s">
        <v>1814</v>
      </c>
      <c r="Q614" s="3">
        <v>0.2</v>
      </c>
      <c r="R614" s="1" t="s">
        <v>624</v>
      </c>
      <c r="S614" t="s">
        <v>1814</v>
      </c>
      <c r="T614" s="3">
        <v>0.2</v>
      </c>
      <c r="U614" s="1" t="s">
        <v>624</v>
      </c>
      <c r="V614" t="s">
        <v>1814</v>
      </c>
      <c r="W614" s="3">
        <v>0.2</v>
      </c>
      <c r="X614"/>
      <c r="Z614"/>
    </row>
    <row r="615" spans="12:26" x14ac:dyDescent="0.35">
      <c r="L615" s="1" t="s">
        <v>624</v>
      </c>
      <c r="M615" t="s">
        <v>1815</v>
      </c>
      <c r="N615" s="3">
        <v>0.2</v>
      </c>
      <c r="O615" s="1" t="s">
        <v>624</v>
      </c>
      <c r="P615" t="s">
        <v>1815</v>
      </c>
      <c r="Q615" s="3">
        <v>0.2</v>
      </c>
      <c r="R615" s="1" t="s">
        <v>624</v>
      </c>
      <c r="S615" t="s">
        <v>1815</v>
      </c>
      <c r="T615" s="3">
        <v>0.2</v>
      </c>
      <c r="U615" s="1" t="s">
        <v>624</v>
      </c>
      <c r="V615" t="s">
        <v>1815</v>
      </c>
      <c r="W615" s="3">
        <v>0.2</v>
      </c>
      <c r="X615"/>
      <c r="Z615"/>
    </row>
    <row r="616" spans="12:26" x14ac:dyDescent="0.35">
      <c r="L616" s="1" t="s">
        <v>624</v>
      </c>
      <c r="M616" t="s">
        <v>1816</v>
      </c>
      <c r="N616" s="3">
        <v>0.3</v>
      </c>
      <c r="O616" s="1" t="s">
        <v>624</v>
      </c>
      <c r="P616" t="s">
        <v>1816</v>
      </c>
      <c r="Q616" s="3">
        <v>0.3</v>
      </c>
      <c r="R616" s="1" t="s">
        <v>624</v>
      </c>
      <c r="S616" t="s">
        <v>1816</v>
      </c>
      <c r="T616" s="3">
        <v>0.3</v>
      </c>
      <c r="U616" s="1" t="s">
        <v>624</v>
      </c>
      <c r="V616" t="s">
        <v>1816</v>
      </c>
      <c r="W616" s="3">
        <v>0.3</v>
      </c>
      <c r="X616"/>
      <c r="Z616"/>
    </row>
    <row r="617" spans="12:26" x14ac:dyDescent="0.35">
      <c r="L617" s="1" t="s">
        <v>624</v>
      </c>
      <c r="M617" t="s">
        <v>1817</v>
      </c>
      <c r="N617" s="3">
        <v>0.3</v>
      </c>
      <c r="O617" s="1" t="s">
        <v>624</v>
      </c>
      <c r="P617" t="s">
        <v>1817</v>
      </c>
      <c r="Q617" s="3">
        <v>0.3</v>
      </c>
      <c r="R617" s="1" t="s">
        <v>624</v>
      </c>
      <c r="S617" t="s">
        <v>1817</v>
      </c>
      <c r="T617" s="3">
        <v>0.3</v>
      </c>
      <c r="U617" s="1" t="s">
        <v>624</v>
      </c>
      <c r="V617" t="s">
        <v>1817</v>
      </c>
      <c r="W617" s="3">
        <v>0.3</v>
      </c>
      <c r="X617"/>
      <c r="Z617"/>
    </row>
    <row r="618" spans="12:26" x14ac:dyDescent="0.35">
      <c r="L618" s="1" t="s">
        <v>624</v>
      </c>
      <c r="M618" t="s">
        <v>1818</v>
      </c>
      <c r="N618" s="3">
        <v>0.3</v>
      </c>
      <c r="O618" s="1" t="s">
        <v>624</v>
      </c>
      <c r="P618" t="s">
        <v>1818</v>
      </c>
      <c r="Q618" s="3">
        <v>0.3</v>
      </c>
      <c r="R618" s="1" t="s">
        <v>624</v>
      </c>
      <c r="S618" t="s">
        <v>1818</v>
      </c>
      <c r="T618" s="3">
        <v>0.3</v>
      </c>
      <c r="U618" s="1" t="s">
        <v>624</v>
      </c>
      <c r="V618" t="s">
        <v>1818</v>
      </c>
      <c r="W618" s="3">
        <v>0.3</v>
      </c>
      <c r="X618"/>
      <c r="Z618"/>
    </row>
    <row r="619" spans="12:26" x14ac:dyDescent="0.35">
      <c r="L619" s="1" t="s">
        <v>624</v>
      </c>
      <c r="M619" t="s">
        <v>1819</v>
      </c>
      <c r="N619" s="3">
        <v>0.4</v>
      </c>
      <c r="O619" s="1" t="s">
        <v>624</v>
      </c>
      <c r="P619" t="s">
        <v>1819</v>
      </c>
      <c r="Q619" s="3">
        <v>0.4</v>
      </c>
      <c r="R619" s="1" t="s">
        <v>624</v>
      </c>
      <c r="S619" t="s">
        <v>1819</v>
      </c>
      <c r="T619" s="3">
        <v>0.4</v>
      </c>
      <c r="U619" s="1" t="s">
        <v>624</v>
      </c>
      <c r="V619" t="s">
        <v>1819</v>
      </c>
      <c r="W619" s="3">
        <v>0.4</v>
      </c>
      <c r="X619"/>
      <c r="Z619"/>
    </row>
    <row r="620" spans="12:26" x14ac:dyDescent="0.35">
      <c r="L620" s="1" t="s">
        <v>624</v>
      </c>
      <c r="M620" t="s">
        <v>1820</v>
      </c>
      <c r="N620" s="3">
        <v>0.4</v>
      </c>
      <c r="O620" s="1" t="s">
        <v>624</v>
      </c>
      <c r="P620" t="s">
        <v>1820</v>
      </c>
      <c r="Q620" s="3">
        <v>0.4</v>
      </c>
      <c r="R620" s="1" t="s">
        <v>624</v>
      </c>
      <c r="S620" t="s">
        <v>1820</v>
      </c>
      <c r="T620" s="3">
        <v>0.4</v>
      </c>
      <c r="U620" s="1" t="s">
        <v>624</v>
      </c>
      <c r="V620" t="s">
        <v>1820</v>
      </c>
      <c r="W620" s="3">
        <v>0.4</v>
      </c>
      <c r="X620"/>
      <c r="Z620"/>
    </row>
    <row r="621" spans="12:26" x14ac:dyDescent="0.35">
      <c r="L621" s="1" t="s">
        <v>624</v>
      </c>
      <c r="M621" t="s">
        <v>1821</v>
      </c>
      <c r="N621" s="3">
        <v>0.4</v>
      </c>
      <c r="O621" s="1" t="s">
        <v>624</v>
      </c>
      <c r="P621" t="s">
        <v>1821</v>
      </c>
      <c r="Q621" s="3">
        <v>0.4</v>
      </c>
      <c r="R621" s="1" t="s">
        <v>624</v>
      </c>
      <c r="S621" t="s">
        <v>1821</v>
      </c>
      <c r="T621" s="3">
        <v>0.4</v>
      </c>
      <c r="U621" s="1" t="s">
        <v>624</v>
      </c>
      <c r="V621" t="s">
        <v>1821</v>
      </c>
      <c r="W621" s="3">
        <v>0.4</v>
      </c>
      <c r="X621"/>
      <c r="Z621"/>
    </row>
    <row r="622" spans="12:26" x14ac:dyDescent="0.35">
      <c r="L622" s="1" t="s">
        <v>624</v>
      </c>
      <c r="M622" t="s">
        <v>1822</v>
      </c>
      <c r="N622" s="3">
        <v>0.4</v>
      </c>
      <c r="O622" s="1" t="s">
        <v>624</v>
      </c>
      <c r="P622" t="s">
        <v>1822</v>
      </c>
      <c r="Q622" s="3">
        <v>0.4</v>
      </c>
      <c r="R622" s="1" t="s">
        <v>624</v>
      </c>
      <c r="S622" t="s">
        <v>1822</v>
      </c>
      <c r="T622" s="3">
        <v>0.4</v>
      </c>
      <c r="U622" s="1" t="s">
        <v>624</v>
      </c>
      <c r="V622" t="s">
        <v>1822</v>
      </c>
      <c r="W622" s="3">
        <v>0.4</v>
      </c>
      <c r="X622"/>
      <c r="Z622"/>
    </row>
    <row r="623" spans="12:26" x14ac:dyDescent="0.35">
      <c r="L623" s="1" t="s">
        <v>624</v>
      </c>
      <c r="M623" t="s">
        <v>1823</v>
      </c>
      <c r="N623" s="3">
        <v>0.4</v>
      </c>
      <c r="O623" s="1" t="s">
        <v>624</v>
      </c>
      <c r="P623" t="s">
        <v>1823</v>
      </c>
      <c r="Q623" s="3">
        <v>0.4</v>
      </c>
      <c r="R623" s="1" t="s">
        <v>624</v>
      </c>
      <c r="S623" t="s">
        <v>1823</v>
      </c>
      <c r="T623" s="3">
        <v>0.4</v>
      </c>
      <c r="U623" s="1" t="s">
        <v>624</v>
      </c>
      <c r="V623" t="s">
        <v>1823</v>
      </c>
      <c r="W623" s="3">
        <v>0.4</v>
      </c>
      <c r="X623"/>
      <c r="Z623"/>
    </row>
    <row r="624" spans="12:26" x14ac:dyDescent="0.35">
      <c r="L624" s="1" t="s">
        <v>624</v>
      </c>
      <c r="M624" t="s">
        <v>1824</v>
      </c>
      <c r="N624" s="3">
        <v>0.4</v>
      </c>
      <c r="O624" s="1" t="s">
        <v>624</v>
      </c>
      <c r="P624" t="s">
        <v>1824</v>
      </c>
      <c r="Q624" s="3">
        <v>0.4</v>
      </c>
      <c r="R624" s="1" t="s">
        <v>624</v>
      </c>
      <c r="S624" t="s">
        <v>1824</v>
      </c>
      <c r="T624" s="3">
        <v>0.4</v>
      </c>
      <c r="U624" s="1" t="s">
        <v>624</v>
      </c>
      <c r="V624" t="s">
        <v>1824</v>
      </c>
      <c r="W624" s="3">
        <v>0.4</v>
      </c>
      <c r="X624"/>
      <c r="Z624"/>
    </row>
    <row r="625" spans="12:26" x14ac:dyDescent="0.35">
      <c r="L625" s="1" t="s">
        <v>624</v>
      </c>
      <c r="M625" t="s">
        <v>1825</v>
      </c>
      <c r="N625" s="3">
        <v>0.5</v>
      </c>
      <c r="O625" s="1" t="s">
        <v>624</v>
      </c>
      <c r="P625" t="s">
        <v>1825</v>
      </c>
      <c r="Q625" s="3">
        <v>0.5</v>
      </c>
      <c r="R625" s="1" t="s">
        <v>624</v>
      </c>
      <c r="S625" t="s">
        <v>1825</v>
      </c>
      <c r="T625" s="3">
        <v>0.5</v>
      </c>
      <c r="U625" s="1" t="s">
        <v>624</v>
      </c>
      <c r="V625" t="s">
        <v>1825</v>
      </c>
      <c r="W625" s="3">
        <v>0.5</v>
      </c>
      <c r="X625"/>
      <c r="Z625"/>
    </row>
    <row r="626" spans="12:26" x14ac:dyDescent="0.35">
      <c r="L626" s="1" t="s">
        <v>624</v>
      </c>
      <c r="M626" t="s">
        <v>1826</v>
      </c>
      <c r="N626" s="3">
        <v>0.5</v>
      </c>
      <c r="O626" s="1" t="s">
        <v>624</v>
      </c>
      <c r="P626" t="s">
        <v>1826</v>
      </c>
      <c r="Q626" s="3">
        <v>0.5</v>
      </c>
      <c r="R626" s="1" t="s">
        <v>624</v>
      </c>
      <c r="S626" t="s">
        <v>1826</v>
      </c>
      <c r="T626" s="3">
        <v>0.5</v>
      </c>
      <c r="U626" s="1" t="s">
        <v>624</v>
      </c>
      <c r="V626" t="s">
        <v>1826</v>
      </c>
      <c r="W626" s="3">
        <v>0.5</v>
      </c>
      <c r="X626"/>
      <c r="Z626"/>
    </row>
    <row r="627" spans="12:26" x14ac:dyDescent="0.35">
      <c r="L627" s="1" t="s">
        <v>624</v>
      </c>
      <c r="M627" t="s">
        <v>1827</v>
      </c>
      <c r="N627" s="3">
        <v>0.5</v>
      </c>
      <c r="O627" s="1" t="s">
        <v>624</v>
      </c>
      <c r="P627" t="s">
        <v>1827</v>
      </c>
      <c r="Q627" s="3">
        <v>0.5</v>
      </c>
      <c r="R627" s="1" t="s">
        <v>624</v>
      </c>
      <c r="S627" t="s">
        <v>1827</v>
      </c>
      <c r="T627" s="3">
        <v>0.5</v>
      </c>
      <c r="U627" s="1" t="s">
        <v>624</v>
      </c>
      <c r="V627" t="s">
        <v>1827</v>
      </c>
      <c r="W627" s="3">
        <v>0.5</v>
      </c>
      <c r="X627"/>
      <c r="Z627"/>
    </row>
    <row r="628" spans="12:26" x14ac:dyDescent="0.35">
      <c r="L628" s="1" t="s">
        <v>624</v>
      </c>
      <c r="M628" t="s">
        <v>1828</v>
      </c>
      <c r="N628" s="3">
        <v>0.65</v>
      </c>
      <c r="O628" s="1" t="s">
        <v>624</v>
      </c>
      <c r="P628" t="s">
        <v>1828</v>
      </c>
      <c r="Q628" s="3">
        <v>0.65</v>
      </c>
      <c r="R628" s="1" t="s">
        <v>624</v>
      </c>
      <c r="S628" t="s">
        <v>1828</v>
      </c>
      <c r="T628" s="3">
        <v>0.65</v>
      </c>
      <c r="U628" s="1" t="s">
        <v>624</v>
      </c>
      <c r="V628" t="s">
        <v>1828</v>
      </c>
      <c r="W628" s="3">
        <v>0.65</v>
      </c>
      <c r="X628"/>
      <c r="Z628"/>
    </row>
    <row r="629" spans="12:26" x14ac:dyDescent="0.35">
      <c r="L629" s="1" t="s">
        <v>624</v>
      </c>
      <c r="M629" t="s">
        <v>1829</v>
      </c>
      <c r="N629" s="3">
        <v>0.65</v>
      </c>
      <c r="O629" s="1" t="s">
        <v>624</v>
      </c>
      <c r="P629" t="s">
        <v>1829</v>
      </c>
      <c r="Q629" s="3">
        <v>0.65</v>
      </c>
      <c r="R629" s="1" t="s">
        <v>624</v>
      </c>
      <c r="S629" t="s">
        <v>1829</v>
      </c>
      <c r="T629" s="3">
        <v>0.65</v>
      </c>
      <c r="U629" s="1" t="s">
        <v>624</v>
      </c>
      <c r="V629" t="s">
        <v>1829</v>
      </c>
      <c r="W629" s="3">
        <v>0.65</v>
      </c>
      <c r="X629"/>
      <c r="Z629"/>
    </row>
    <row r="630" spans="12:26" x14ac:dyDescent="0.35">
      <c r="L630" s="1" t="s">
        <v>624</v>
      </c>
      <c r="M630" t="s">
        <v>1830</v>
      </c>
      <c r="N630" s="3">
        <v>0.65</v>
      </c>
      <c r="O630" s="1" t="s">
        <v>624</v>
      </c>
      <c r="P630" t="s">
        <v>1830</v>
      </c>
      <c r="Q630" s="3">
        <v>0.65</v>
      </c>
      <c r="R630" s="1" t="s">
        <v>624</v>
      </c>
      <c r="S630" t="s">
        <v>1830</v>
      </c>
      <c r="T630" s="3">
        <v>0.65</v>
      </c>
      <c r="U630" s="1" t="s">
        <v>624</v>
      </c>
      <c r="V630" t="s">
        <v>1830</v>
      </c>
      <c r="W630" s="3">
        <v>0.65</v>
      </c>
      <c r="X630"/>
      <c r="Z630"/>
    </row>
    <row r="631" spans="12:26" x14ac:dyDescent="0.35">
      <c r="L631" s="1" t="s">
        <v>624</v>
      </c>
      <c r="M631" t="s">
        <v>1831</v>
      </c>
      <c r="N631" s="3">
        <v>0.65</v>
      </c>
      <c r="O631" s="1" t="s">
        <v>624</v>
      </c>
      <c r="P631" t="s">
        <v>1831</v>
      </c>
      <c r="Q631" s="3">
        <v>0.65</v>
      </c>
      <c r="R631" s="1" t="s">
        <v>624</v>
      </c>
      <c r="S631" t="s">
        <v>1831</v>
      </c>
      <c r="T631" s="3">
        <v>0.65</v>
      </c>
      <c r="U631" s="1" t="s">
        <v>624</v>
      </c>
      <c r="V631" t="s">
        <v>1831</v>
      </c>
      <c r="W631" s="3">
        <v>0.65</v>
      </c>
      <c r="X631"/>
      <c r="Z631"/>
    </row>
    <row r="632" spans="12:26" x14ac:dyDescent="0.35">
      <c r="L632" s="1" t="s">
        <v>624</v>
      </c>
      <c r="M632" t="s">
        <v>1699</v>
      </c>
      <c r="N632" s="3">
        <v>0.75</v>
      </c>
      <c r="O632" s="1" t="s">
        <v>624</v>
      </c>
      <c r="P632" t="s">
        <v>1699</v>
      </c>
      <c r="Q632" s="3">
        <v>0.75</v>
      </c>
      <c r="R632" s="1" t="s">
        <v>624</v>
      </c>
      <c r="S632" t="s">
        <v>1699</v>
      </c>
      <c r="T632" s="3">
        <v>0.75</v>
      </c>
      <c r="U632" s="1" t="s">
        <v>624</v>
      </c>
      <c r="V632" t="s">
        <v>1699</v>
      </c>
      <c r="W632" s="3">
        <v>0.75</v>
      </c>
      <c r="X632"/>
      <c r="Z632"/>
    </row>
    <row r="633" spans="12:26" x14ac:dyDescent="0.35">
      <c r="L633" s="1" t="s">
        <v>624</v>
      </c>
      <c r="M633" t="s">
        <v>1832</v>
      </c>
      <c r="N633" s="3">
        <v>0.9</v>
      </c>
      <c r="O633" s="1" t="s">
        <v>624</v>
      </c>
      <c r="P633" t="s">
        <v>1832</v>
      </c>
      <c r="Q633" s="3">
        <v>0.9</v>
      </c>
      <c r="R633" s="1" t="s">
        <v>624</v>
      </c>
      <c r="S633" t="s">
        <v>1832</v>
      </c>
      <c r="T633" s="3">
        <v>0.9</v>
      </c>
      <c r="U633" s="1" t="s">
        <v>624</v>
      </c>
      <c r="V633" t="s">
        <v>1832</v>
      </c>
      <c r="W633" s="3">
        <v>0.9</v>
      </c>
      <c r="X633"/>
      <c r="Z633"/>
    </row>
    <row r="634" spans="12:26" x14ac:dyDescent="0.35">
      <c r="L634" s="1" t="s">
        <v>624</v>
      </c>
      <c r="M634" t="s">
        <v>1833</v>
      </c>
      <c r="N634" s="3">
        <v>0.9</v>
      </c>
      <c r="O634" s="1" t="s">
        <v>624</v>
      </c>
      <c r="P634" t="s">
        <v>1833</v>
      </c>
      <c r="Q634" s="3">
        <v>0.9</v>
      </c>
      <c r="R634" s="1" t="s">
        <v>624</v>
      </c>
      <c r="S634" t="s">
        <v>1833</v>
      </c>
      <c r="T634" s="3">
        <v>0.9</v>
      </c>
      <c r="U634" s="1" t="s">
        <v>624</v>
      </c>
      <c r="V634" t="s">
        <v>1833</v>
      </c>
      <c r="W634" s="3">
        <v>0.9</v>
      </c>
      <c r="X634"/>
      <c r="Z634"/>
    </row>
    <row r="635" spans="12:26" x14ac:dyDescent="0.35">
      <c r="L635" s="1" t="s">
        <v>624</v>
      </c>
      <c r="M635" t="s">
        <v>1700</v>
      </c>
      <c r="N635" s="3">
        <v>1</v>
      </c>
      <c r="O635" s="1" t="s">
        <v>624</v>
      </c>
      <c r="P635" t="s">
        <v>1700</v>
      </c>
      <c r="Q635" s="3">
        <v>1</v>
      </c>
      <c r="R635" s="1" t="s">
        <v>624</v>
      </c>
      <c r="S635" t="s">
        <v>1700</v>
      </c>
      <c r="T635" s="3">
        <v>1</v>
      </c>
      <c r="U635" s="1" t="s">
        <v>624</v>
      </c>
      <c r="V635" t="s">
        <v>1700</v>
      </c>
      <c r="W635" s="3">
        <v>1</v>
      </c>
      <c r="X635"/>
      <c r="Z635"/>
    </row>
    <row r="636" spans="12:26" x14ac:dyDescent="0.35">
      <c r="L636" s="1" t="s">
        <v>624</v>
      </c>
      <c r="M636" t="s">
        <v>1701</v>
      </c>
      <c r="N636" s="3">
        <v>1.3</v>
      </c>
      <c r="O636" s="1" t="s">
        <v>624</v>
      </c>
      <c r="P636" t="s">
        <v>1701</v>
      </c>
      <c r="Q636" s="3">
        <v>1.3</v>
      </c>
      <c r="R636" s="1" t="s">
        <v>624</v>
      </c>
      <c r="S636" t="s">
        <v>1701</v>
      </c>
      <c r="T636" s="3">
        <v>1.3</v>
      </c>
      <c r="U636" s="1" t="s">
        <v>624</v>
      </c>
      <c r="V636" t="s">
        <v>1701</v>
      </c>
      <c r="W636" s="3">
        <v>1.3</v>
      </c>
      <c r="X636"/>
      <c r="Z636"/>
    </row>
    <row r="637" spans="12:26" x14ac:dyDescent="0.35">
      <c r="O637" s="1" t="s">
        <v>625</v>
      </c>
      <c r="P637" t="s">
        <v>1702</v>
      </c>
      <c r="Q637" s="3">
        <v>0.1</v>
      </c>
      <c r="R637" s="1" t="s">
        <v>625</v>
      </c>
      <c r="S637" t="s">
        <v>1702</v>
      </c>
      <c r="T637" s="3">
        <v>0.1</v>
      </c>
      <c r="U637" s="1" t="s">
        <v>625</v>
      </c>
      <c r="V637" t="s">
        <v>1702</v>
      </c>
      <c r="W637" s="3">
        <v>0.1</v>
      </c>
      <c r="X637"/>
      <c r="Z637"/>
    </row>
    <row r="638" spans="12:26" x14ac:dyDescent="0.35">
      <c r="O638" s="1" t="s">
        <v>625</v>
      </c>
      <c r="P638" t="s">
        <v>1834</v>
      </c>
      <c r="Q638" s="3">
        <v>0.2</v>
      </c>
      <c r="R638" s="1" t="s">
        <v>625</v>
      </c>
      <c r="S638" t="s">
        <v>1834</v>
      </c>
      <c r="T638" s="3">
        <v>0.2</v>
      </c>
      <c r="U638" s="1" t="s">
        <v>625</v>
      </c>
      <c r="V638" t="s">
        <v>1703</v>
      </c>
      <c r="W638" s="3">
        <v>0.2</v>
      </c>
      <c r="X638"/>
      <c r="Z638"/>
    </row>
    <row r="639" spans="12:26" x14ac:dyDescent="0.35">
      <c r="O639" s="1" t="s">
        <v>625</v>
      </c>
      <c r="P639" t="s">
        <v>1835</v>
      </c>
      <c r="Q639" s="3">
        <v>0.2</v>
      </c>
      <c r="R639" s="1" t="s">
        <v>625</v>
      </c>
      <c r="S639" t="s">
        <v>1835</v>
      </c>
      <c r="T639" s="3">
        <v>0.2</v>
      </c>
      <c r="U639" s="1" t="s">
        <v>625</v>
      </c>
      <c r="V639" t="s">
        <v>1834</v>
      </c>
      <c r="W639" s="3">
        <v>0.2</v>
      </c>
      <c r="X639"/>
      <c r="Z639"/>
    </row>
    <row r="640" spans="12:26" x14ac:dyDescent="0.35">
      <c r="O640" s="1" t="s">
        <v>625</v>
      </c>
      <c r="P640" t="s">
        <v>1838</v>
      </c>
      <c r="Q640" s="3">
        <v>0.3</v>
      </c>
      <c r="R640" s="1" t="s">
        <v>625</v>
      </c>
      <c r="S640" t="s">
        <v>1838</v>
      </c>
      <c r="T640" s="3">
        <v>0.3</v>
      </c>
      <c r="U640" s="1" t="s">
        <v>625</v>
      </c>
      <c r="V640" t="s">
        <v>1836</v>
      </c>
      <c r="W640" s="3">
        <v>0.3</v>
      </c>
      <c r="X640"/>
      <c r="Z640"/>
    </row>
    <row r="641" spans="15:26" x14ac:dyDescent="0.35">
      <c r="O641" s="1" t="s">
        <v>625</v>
      </c>
      <c r="P641" t="s">
        <v>1839</v>
      </c>
      <c r="Q641" s="3">
        <v>0.3</v>
      </c>
      <c r="R641" s="1" t="s">
        <v>625</v>
      </c>
      <c r="S641" t="s">
        <v>1839</v>
      </c>
      <c r="T641" s="3">
        <v>0.3</v>
      </c>
      <c r="U641" s="1" t="s">
        <v>625</v>
      </c>
      <c r="V641" t="s">
        <v>1835</v>
      </c>
      <c r="W641" s="3">
        <v>0.2</v>
      </c>
      <c r="X641"/>
      <c r="Z641"/>
    </row>
    <row r="642" spans="15:26" x14ac:dyDescent="0.35">
      <c r="O642" s="1" t="s">
        <v>625</v>
      </c>
      <c r="P642" t="s">
        <v>1840</v>
      </c>
      <c r="Q642" s="3">
        <v>0.3</v>
      </c>
      <c r="R642" s="1" t="s">
        <v>625</v>
      </c>
      <c r="S642" t="s">
        <v>1840</v>
      </c>
      <c r="T642" s="3">
        <v>0.3</v>
      </c>
      <c r="U642" s="1" t="s">
        <v>625</v>
      </c>
      <c r="V642" t="s">
        <v>1837</v>
      </c>
      <c r="W642" s="3">
        <v>0.3</v>
      </c>
      <c r="X642"/>
      <c r="Z642"/>
    </row>
    <row r="643" spans="15:26" x14ac:dyDescent="0.35">
      <c r="O643" s="1" t="s">
        <v>625</v>
      </c>
      <c r="P643" t="s">
        <v>60</v>
      </c>
      <c r="Q643" s="3">
        <v>0.4</v>
      </c>
      <c r="R643" s="1" t="s">
        <v>625</v>
      </c>
      <c r="S643" t="s">
        <v>60</v>
      </c>
      <c r="T643" s="3">
        <v>0.4</v>
      </c>
      <c r="U643" s="1" t="s">
        <v>625</v>
      </c>
      <c r="V643" t="s">
        <v>1838</v>
      </c>
      <c r="W643" s="3">
        <v>0.3</v>
      </c>
      <c r="X643"/>
      <c r="Z643"/>
    </row>
    <row r="644" spans="15:26" x14ac:dyDescent="0.35">
      <c r="O644" s="1" t="s">
        <v>625</v>
      </c>
      <c r="P644" t="s">
        <v>61</v>
      </c>
      <c r="Q644" s="3">
        <v>0.5</v>
      </c>
      <c r="R644" s="1" t="s">
        <v>625</v>
      </c>
      <c r="S644" t="s">
        <v>61</v>
      </c>
      <c r="T644" s="3">
        <v>0.5</v>
      </c>
      <c r="U644" s="1" t="s">
        <v>625</v>
      </c>
      <c r="V644" t="s">
        <v>1841</v>
      </c>
      <c r="W644" s="3">
        <v>0.4</v>
      </c>
      <c r="X644"/>
      <c r="Z644"/>
    </row>
    <row r="645" spans="15:26" x14ac:dyDescent="0.35">
      <c r="O645" s="1" t="s">
        <v>625</v>
      </c>
      <c r="P645" t="s">
        <v>62</v>
      </c>
      <c r="Q645" s="3">
        <v>1</v>
      </c>
      <c r="R645" s="1" t="s">
        <v>625</v>
      </c>
      <c r="S645" t="s">
        <v>62</v>
      </c>
      <c r="T645" s="3">
        <v>1</v>
      </c>
      <c r="U645" s="1" t="s">
        <v>625</v>
      </c>
      <c r="V645" t="s">
        <v>1839</v>
      </c>
      <c r="W645" s="3">
        <v>0.3</v>
      </c>
      <c r="X645"/>
      <c r="Z645"/>
    </row>
    <row r="646" spans="15:26" x14ac:dyDescent="0.35">
      <c r="O646" s="1" t="s">
        <v>625</v>
      </c>
      <c r="P646" t="s">
        <v>1844</v>
      </c>
      <c r="Q646" s="3">
        <v>1.25</v>
      </c>
      <c r="R646" s="1" t="s">
        <v>625</v>
      </c>
      <c r="S646" t="s">
        <v>1844</v>
      </c>
      <c r="T646" s="3">
        <v>1.25</v>
      </c>
      <c r="U646" s="1" t="s">
        <v>625</v>
      </c>
      <c r="V646" t="s">
        <v>1842</v>
      </c>
      <c r="W646" s="3">
        <v>0.4</v>
      </c>
      <c r="X646"/>
      <c r="Z646"/>
    </row>
    <row r="647" spans="15:26" x14ac:dyDescent="0.35">
      <c r="O647" s="1" t="s">
        <v>625</v>
      </c>
      <c r="P647" t="s">
        <v>1845</v>
      </c>
      <c r="Q647" s="3">
        <v>1.25</v>
      </c>
      <c r="R647" s="1" t="s">
        <v>625</v>
      </c>
      <c r="S647" t="s">
        <v>1845</v>
      </c>
      <c r="T647" s="3">
        <v>1.25</v>
      </c>
      <c r="U647" s="1" t="s">
        <v>625</v>
      </c>
      <c r="V647" t="s">
        <v>1840</v>
      </c>
      <c r="W647" s="3">
        <v>0.3</v>
      </c>
      <c r="X647"/>
      <c r="Z647"/>
    </row>
    <row r="648" spans="15:26" x14ac:dyDescent="0.35">
      <c r="O648" s="1" t="s">
        <v>625</v>
      </c>
      <c r="P648" t="s">
        <v>1704</v>
      </c>
      <c r="Q648" s="3">
        <v>1.5</v>
      </c>
      <c r="R648" s="1" t="s">
        <v>625</v>
      </c>
      <c r="S648" t="s">
        <v>1704</v>
      </c>
      <c r="T648" s="3">
        <v>1.5</v>
      </c>
      <c r="U648" s="1" t="s">
        <v>625</v>
      </c>
      <c r="V648" t="s">
        <v>1843</v>
      </c>
      <c r="W648" s="3">
        <v>0.4</v>
      </c>
      <c r="X648"/>
      <c r="Z648"/>
    </row>
    <row r="649" spans="15:26" x14ac:dyDescent="0.35">
      <c r="O649" s="1" t="s">
        <v>1765</v>
      </c>
      <c r="P649" t="str">
        <f>CONCATENATE(P503,"*0,5")</f>
        <v>TB*0,5</v>
      </c>
      <c r="Q649" s="3">
        <f>Q503*0.5</f>
        <v>0.15</v>
      </c>
      <c r="R649" s="1" t="s">
        <v>1765</v>
      </c>
      <c r="S649" t="str">
        <f>CONCATENATE(S503,"*0,5")</f>
        <v>TB*0,5</v>
      </c>
      <c r="T649" s="3">
        <f>T503*0.5</f>
        <v>0.15</v>
      </c>
      <c r="U649" s="1" t="s">
        <v>625</v>
      </c>
      <c r="V649" t="s">
        <v>60</v>
      </c>
      <c r="W649" s="3">
        <v>0.4</v>
      </c>
      <c r="X649"/>
      <c r="Z649"/>
    </row>
    <row r="650" spans="15:26" x14ac:dyDescent="0.35">
      <c r="O650" s="1" t="s">
        <v>1765</v>
      </c>
      <c r="P650" t="str">
        <f t="shared" ref="P650" si="0">CONCATENATE(P504,"*0,5")</f>
        <v>T1*0,5</v>
      </c>
      <c r="Q650" s="3">
        <f t="shared" ref="Q650" si="1">Q504*0.5</f>
        <v>0.22500000000000001</v>
      </c>
      <c r="R650" s="1" t="s">
        <v>1765</v>
      </c>
      <c r="S650" t="str">
        <f t="shared" ref="S650" si="2">CONCATENATE(S504,"*0,5")</f>
        <v>T1*0,5</v>
      </c>
      <c r="T650" s="3">
        <f t="shared" ref="T650" si="3">T504*0.5</f>
        <v>0.22500000000000001</v>
      </c>
      <c r="U650" s="1" t="s">
        <v>625</v>
      </c>
      <c r="V650" t="s">
        <v>626</v>
      </c>
      <c r="W650" s="3">
        <v>0.5</v>
      </c>
      <c r="X650"/>
      <c r="Z650"/>
    </row>
    <row r="651" spans="15:26" x14ac:dyDescent="0.35">
      <c r="O651" s="1" t="s">
        <v>1765</v>
      </c>
      <c r="P651" t="str">
        <f t="shared" ref="P651" si="4">CONCATENATE(P505,"*0,5")</f>
        <v>T2a*0,5</v>
      </c>
      <c r="Q651" s="3">
        <f t="shared" ref="Q651" si="5">Q505*0.5</f>
        <v>0.25</v>
      </c>
      <c r="R651" s="1" t="s">
        <v>1765</v>
      </c>
      <c r="S651" t="str">
        <f t="shared" ref="S651" si="6">CONCATENATE(S505,"*0,5")</f>
        <v>T2a*0,5</v>
      </c>
      <c r="T651" s="3">
        <f t="shared" ref="T651" si="7">T505*0.5</f>
        <v>0.25</v>
      </c>
      <c r="U651" s="1" t="s">
        <v>625</v>
      </c>
      <c r="V651" t="s">
        <v>61</v>
      </c>
      <c r="W651" s="3">
        <v>0.5</v>
      </c>
      <c r="X651"/>
      <c r="Z651"/>
    </row>
    <row r="652" spans="15:26" x14ac:dyDescent="0.35">
      <c r="O652" s="1" t="s">
        <v>1765</v>
      </c>
      <c r="P652" t="str">
        <f t="shared" ref="P652" si="8">CONCATENATE(P506,"*0,5")</f>
        <v>T2b*0,5</v>
      </c>
      <c r="Q652" s="3">
        <f t="shared" ref="Q652" si="9">Q506*0.5</f>
        <v>0.25</v>
      </c>
      <c r="R652" s="1" t="s">
        <v>1765</v>
      </c>
      <c r="S652" t="str">
        <f t="shared" ref="S652" si="10">CONCATENATE(S506,"*0,5")</f>
        <v>T2b*0,5</v>
      </c>
      <c r="T652" s="3">
        <f t="shared" ref="T652" si="11">T506*0.5</f>
        <v>0.25</v>
      </c>
      <c r="U652" s="1" t="s">
        <v>625</v>
      </c>
      <c r="V652" t="s">
        <v>627</v>
      </c>
      <c r="W652" s="3">
        <v>0.6</v>
      </c>
      <c r="X652"/>
      <c r="Z652"/>
    </row>
    <row r="653" spans="15:26" x14ac:dyDescent="0.35">
      <c r="O653" s="1" t="s">
        <v>1765</v>
      </c>
      <c r="P653" t="str">
        <f t="shared" ref="P653" si="12">CONCATENATE(P507,"*0,5")</f>
        <v>T3a*0,5</v>
      </c>
      <c r="Q653" s="3">
        <f t="shared" ref="Q653" si="13">Q507*0.5</f>
        <v>0.32500000000000001</v>
      </c>
      <c r="R653" s="1" t="s">
        <v>1765</v>
      </c>
      <c r="S653" t="str">
        <f t="shared" ref="S653" si="14">CONCATENATE(S507,"*0,5")</f>
        <v>T3a*0,5</v>
      </c>
      <c r="T653" s="3">
        <f t="shared" ref="T653" si="15">T507*0.5</f>
        <v>0.32500000000000001</v>
      </c>
      <c r="U653" s="1" t="s">
        <v>625</v>
      </c>
      <c r="V653" t="s">
        <v>62</v>
      </c>
      <c r="W653" s="3">
        <v>1</v>
      </c>
      <c r="X653"/>
      <c r="Z653"/>
    </row>
    <row r="654" spans="15:26" x14ac:dyDescent="0.35">
      <c r="O654" s="1" t="s">
        <v>1765</v>
      </c>
      <c r="P654" t="str">
        <f t="shared" ref="P654" si="16">CONCATENATE(P508,"*0,5")</f>
        <v>T3b*0,5</v>
      </c>
      <c r="Q654" s="3">
        <f t="shared" ref="Q654" si="17">Q508*0.5</f>
        <v>0.32500000000000001</v>
      </c>
      <c r="R654" s="1" t="s">
        <v>1765</v>
      </c>
      <c r="S654" t="str">
        <f t="shared" ref="S654" si="18">CONCATENATE(S508,"*0,5")</f>
        <v>T3b*0,5</v>
      </c>
      <c r="T654" s="3">
        <f t="shared" ref="T654" si="19">T508*0.5</f>
        <v>0.32500000000000001</v>
      </c>
      <c r="U654" s="1" t="s">
        <v>625</v>
      </c>
      <c r="V654" t="s">
        <v>628</v>
      </c>
      <c r="W654" s="3">
        <v>1.1000000000000001</v>
      </c>
      <c r="X654"/>
      <c r="Z654"/>
    </row>
    <row r="655" spans="15:26" x14ac:dyDescent="0.35">
      <c r="O655" s="1" t="s">
        <v>1765</v>
      </c>
      <c r="P655" t="str">
        <f t="shared" ref="P655" si="20">CONCATENATE(P509,"*0,5")</f>
        <v>T3c*0,5</v>
      </c>
      <c r="Q655" s="3">
        <f t="shared" ref="Q655" si="21">Q509*0.5</f>
        <v>0.32500000000000001</v>
      </c>
      <c r="R655" s="1" t="s">
        <v>1765</v>
      </c>
      <c r="S655" t="str">
        <f t="shared" ref="S655" si="22">CONCATENATE(S509,"*0,5")</f>
        <v>T3c*0,5</v>
      </c>
      <c r="T655" s="3">
        <f t="shared" ref="T655" si="23">T509*0.5</f>
        <v>0.32500000000000001</v>
      </c>
      <c r="U655" s="1" t="s">
        <v>625</v>
      </c>
      <c r="V655" t="s">
        <v>1844</v>
      </c>
      <c r="W655" s="3">
        <v>1.25</v>
      </c>
      <c r="X655"/>
      <c r="Z655"/>
    </row>
    <row r="656" spans="15:26" x14ac:dyDescent="0.35">
      <c r="O656" s="1" t="s">
        <v>1765</v>
      </c>
      <c r="P656" t="str">
        <f t="shared" ref="P656" si="24">CONCATENATE(P510,"*0,5")</f>
        <v>T3d*0,5</v>
      </c>
      <c r="Q656" s="3">
        <f t="shared" ref="Q656" si="25">Q510*0.5</f>
        <v>0.32500000000000001</v>
      </c>
      <c r="R656" s="1" t="s">
        <v>1765</v>
      </c>
      <c r="S656" t="str">
        <f t="shared" ref="S656" si="26">CONCATENATE(S510,"*0,5")</f>
        <v>T3d*0,5</v>
      </c>
      <c r="T656" s="3">
        <f t="shared" ref="T656" si="27">T510*0.5</f>
        <v>0.32500000000000001</v>
      </c>
      <c r="U656" s="1" t="s">
        <v>625</v>
      </c>
      <c r="V656" t="s">
        <v>1846</v>
      </c>
      <c r="W656" s="3">
        <v>1.35</v>
      </c>
      <c r="X656"/>
      <c r="Z656"/>
    </row>
    <row r="657" spans="15:26" x14ac:dyDescent="0.35">
      <c r="O657" s="1" t="s">
        <v>1765</v>
      </c>
      <c r="P657" t="str">
        <f t="shared" ref="P657" si="28">CONCATENATE(P511,"*0,5")</f>
        <v>T4a*0,5</v>
      </c>
      <c r="Q657" s="3">
        <f t="shared" ref="Q657" si="29">Q511*0.5</f>
        <v>0.4</v>
      </c>
      <c r="R657" s="1" t="s">
        <v>1765</v>
      </c>
      <c r="S657" t="str">
        <f t="shared" ref="S657" si="30">CONCATENATE(S511,"*0,5")</f>
        <v>T4a*0,5</v>
      </c>
      <c r="T657" s="3">
        <f t="shared" ref="T657" si="31">T511*0.5</f>
        <v>0.4</v>
      </c>
      <c r="U657" s="1" t="s">
        <v>625</v>
      </c>
      <c r="V657" t="s">
        <v>1845</v>
      </c>
      <c r="W657" s="3">
        <v>1.25</v>
      </c>
      <c r="X657"/>
      <c r="Z657"/>
    </row>
    <row r="658" spans="15:26" x14ac:dyDescent="0.35">
      <c r="O658" s="1" t="s">
        <v>1765</v>
      </c>
      <c r="P658" t="str">
        <f t="shared" ref="P658" si="32">CONCATENATE(P512,"*0,5")</f>
        <v>T4b*0,5</v>
      </c>
      <c r="Q658" s="3">
        <f t="shared" ref="Q658" si="33">Q512*0.5</f>
        <v>0.4</v>
      </c>
      <c r="R658" s="1" t="s">
        <v>1765</v>
      </c>
      <c r="S658" t="str">
        <f t="shared" ref="S658" si="34">CONCATENATE(S512,"*0,5")</f>
        <v>T4b*0,5</v>
      </c>
      <c r="T658" s="3">
        <f t="shared" ref="T658" si="35">T512*0.5</f>
        <v>0.4</v>
      </c>
      <c r="U658" s="1" t="s">
        <v>625</v>
      </c>
      <c r="V658" t="s">
        <v>1847</v>
      </c>
      <c r="W658" s="3">
        <v>1.35</v>
      </c>
      <c r="X658"/>
      <c r="Z658"/>
    </row>
    <row r="659" spans="15:26" x14ac:dyDescent="0.35">
      <c r="O659" s="1" t="s">
        <v>1765</v>
      </c>
      <c r="P659" t="str">
        <f t="shared" ref="P659" si="36">CONCATENATE(P513,"*0,5")</f>
        <v>T4c*0,5</v>
      </c>
      <c r="Q659" s="3">
        <f t="shared" ref="Q659" si="37">Q513*0.5</f>
        <v>0.4</v>
      </c>
      <c r="R659" s="1" t="s">
        <v>1765</v>
      </c>
      <c r="S659" t="str">
        <f t="shared" ref="S659" si="38">CONCATENATE(S513,"*0,5")</f>
        <v>T4c*0,5</v>
      </c>
      <c r="T659" s="3">
        <f t="shared" ref="T659" si="39">T513*0.5</f>
        <v>0.4</v>
      </c>
      <c r="U659" s="1" t="s">
        <v>625</v>
      </c>
      <c r="V659" t="s">
        <v>1704</v>
      </c>
      <c r="W659" s="3">
        <v>1.5</v>
      </c>
      <c r="X659"/>
      <c r="Z659"/>
    </row>
    <row r="660" spans="15:26" x14ac:dyDescent="0.35">
      <c r="O660" s="1" t="s">
        <v>1765</v>
      </c>
      <c r="P660" t="str">
        <f t="shared" ref="P660" si="40">CONCATENATE(P514,"*0,5")</f>
        <v>T4d*0,5</v>
      </c>
      <c r="Q660" s="3">
        <f t="shared" ref="Q660" si="41">Q514*0.5</f>
        <v>0.4</v>
      </c>
      <c r="R660" s="1" t="s">
        <v>1765</v>
      </c>
      <c r="S660" t="str">
        <f t="shared" ref="S660" si="42">CONCATENATE(S514,"*0,5")</f>
        <v>T4d*0,5</v>
      </c>
      <c r="T660" s="3">
        <f t="shared" ref="T660" si="43">T514*0.5</f>
        <v>0.4</v>
      </c>
      <c r="U660" s="1" t="s">
        <v>625</v>
      </c>
      <c r="V660" t="s">
        <v>1705</v>
      </c>
      <c r="W660" s="3">
        <v>1.6</v>
      </c>
      <c r="X660"/>
      <c r="Z660"/>
    </row>
    <row r="661" spans="15:26" x14ac:dyDescent="0.35">
      <c r="O661" s="1" t="s">
        <v>1765</v>
      </c>
      <c r="P661" t="str">
        <f t="shared" ref="P661" si="44">CONCATENATE(P515,"*0,5")</f>
        <v>T4e*0,5</v>
      </c>
      <c r="Q661" s="3">
        <f t="shared" ref="Q661" si="45">Q515*0.5</f>
        <v>0.4</v>
      </c>
      <c r="R661" s="1" t="s">
        <v>1765</v>
      </c>
      <c r="S661" t="str">
        <f t="shared" ref="S661" si="46">CONCATENATE(S515,"*0,5")</f>
        <v>T4e*0,5</v>
      </c>
      <c r="T661" s="3">
        <f t="shared" ref="T661" si="47">T515*0.5</f>
        <v>0.4</v>
      </c>
      <c r="U661" s="1" t="s">
        <v>1765</v>
      </c>
      <c r="V661" t="str">
        <f>CONCATENATE(V503,"*0,5")</f>
        <v>TB*0,5</v>
      </c>
      <c r="W661" s="3">
        <f>W503*0.5</f>
        <v>0.15</v>
      </c>
      <c r="X661"/>
      <c r="Z661"/>
    </row>
    <row r="662" spans="15:26" x14ac:dyDescent="0.35">
      <c r="O662" s="1" t="s">
        <v>1765</v>
      </c>
      <c r="P662" t="str">
        <f t="shared" ref="P662" si="48">CONCATENATE(P516,"*0,5")</f>
        <v>T5a*0,5</v>
      </c>
      <c r="Q662" s="3">
        <f t="shared" ref="Q662" si="49">Q516*0.5</f>
        <v>0.45</v>
      </c>
      <c r="R662" s="1" t="s">
        <v>1765</v>
      </c>
      <c r="S662" t="str">
        <f t="shared" ref="S662" si="50">CONCATENATE(S516,"*0,5")</f>
        <v>T5a*0,5</v>
      </c>
      <c r="T662" s="3">
        <f t="shared" ref="T662" si="51">T516*0.5</f>
        <v>0.45</v>
      </c>
      <c r="U662" s="1" t="s">
        <v>1765</v>
      </c>
      <c r="V662" t="str">
        <f t="shared" ref="V662:V725" si="52">CONCATENATE(V504,"*0,5")</f>
        <v>T1*0,5</v>
      </c>
      <c r="W662" s="3">
        <f t="shared" ref="W662:W725" si="53">W504*0.5</f>
        <v>0.22500000000000001</v>
      </c>
      <c r="X662"/>
      <c r="Z662"/>
    </row>
    <row r="663" spans="15:26" x14ac:dyDescent="0.35">
      <c r="O663" s="1" t="s">
        <v>1765</v>
      </c>
      <c r="P663" t="str">
        <f t="shared" ref="P663" si="54">CONCATENATE(P517,"*0,5")</f>
        <v>T5b*0,5</v>
      </c>
      <c r="Q663" s="3">
        <f t="shared" ref="Q663" si="55">Q517*0.5</f>
        <v>0.45</v>
      </c>
      <c r="R663" s="1" t="s">
        <v>1765</v>
      </c>
      <c r="S663" t="str">
        <f t="shared" ref="S663" si="56">CONCATENATE(S517,"*0,5")</f>
        <v>T5b*0,5</v>
      </c>
      <c r="T663" s="3">
        <f t="shared" ref="T663" si="57">T517*0.5</f>
        <v>0.45</v>
      </c>
      <c r="U663" s="1" t="s">
        <v>1765</v>
      </c>
      <c r="V663" t="str">
        <f t="shared" si="52"/>
        <v>T2a*0,5</v>
      </c>
      <c r="W663" s="3">
        <f t="shared" si="53"/>
        <v>0.25</v>
      </c>
      <c r="X663"/>
      <c r="Z663"/>
    </row>
    <row r="664" spans="15:26" x14ac:dyDescent="0.35">
      <c r="O664" s="1" t="s">
        <v>1765</v>
      </c>
      <c r="P664" t="str">
        <f t="shared" ref="P664" si="58">CONCATENATE(P518,"*0,5")</f>
        <v>T5c*0,5</v>
      </c>
      <c r="Q664" s="3">
        <f t="shared" ref="Q664" si="59">Q518*0.5</f>
        <v>0.45</v>
      </c>
      <c r="R664" s="1" t="s">
        <v>1765</v>
      </c>
      <c r="S664" t="str">
        <f t="shared" ref="S664" si="60">CONCATENATE(S518,"*0,5")</f>
        <v>T5c*0,5</v>
      </c>
      <c r="T664" s="3">
        <f t="shared" ref="T664" si="61">T518*0.5</f>
        <v>0.45</v>
      </c>
      <c r="U664" s="1" t="s">
        <v>1765</v>
      </c>
      <c r="V664" t="str">
        <f t="shared" si="52"/>
        <v>T2b*0,5</v>
      </c>
      <c r="W664" s="3">
        <f t="shared" si="53"/>
        <v>0.25</v>
      </c>
      <c r="X664"/>
      <c r="Z664"/>
    </row>
    <row r="665" spans="15:26" x14ac:dyDescent="0.35">
      <c r="O665" s="1" t="s">
        <v>1765</v>
      </c>
      <c r="P665" t="str">
        <f t="shared" ref="P665" si="62">CONCATENATE(P519,"*0,5")</f>
        <v>T5d*0,5</v>
      </c>
      <c r="Q665" s="3">
        <f t="shared" ref="Q665" si="63">Q519*0.5</f>
        <v>0.45</v>
      </c>
      <c r="R665" s="1" t="s">
        <v>1765</v>
      </c>
      <c r="S665" t="str">
        <f t="shared" ref="S665" si="64">CONCATENATE(S519,"*0,5")</f>
        <v>T5d*0,5</v>
      </c>
      <c r="T665" s="3">
        <f t="shared" ref="T665" si="65">T519*0.5</f>
        <v>0.45</v>
      </c>
      <c r="U665" s="1" t="s">
        <v>1765</v>
      </c>
      <c r="V665" t="str">
        <f t="shared" si="52"/>
        <v>T3a*0,5</v>
      </c>
      <c r="W665" s="3">
        <f t="shared" si="53"/>
        <v>0.32500000000000001</v>
      </c>
      <c r="X665"/>
      <c r="Z665"/>
    </row>
    <row r="666" spans="15:26" x14ac:dyDescent="0.35">
      <c r="O666" s="1" t="s">
        <v>1765</v>
      </c>
      <c r="P666" t="str">
        <f t="shared" ref="P666" si="66">CONCATENATE(P520,"*0,5")</f>
        <v>T5e*0,5</v>
      </c>
      <c r="Q666" s="3">
        <f t="shared" ref="Q666" si="67">Q520*0.5</f>
        <v>0.45</v>
      </c>
      <c r="R666" s="1" t="s">
        <v>1765</v>
      </c>
      <c r="S666" t="str">
        <f t="shared" ref="S666" si="68">CONCATENATE(S520,"*0,5")</f>
        <v>T5e*0,5</v>
      </c>
      <c r="T666" s="3">
        <f t="shared" ref="T666" si="69">T520*0.5</f>
        <v>0.45</v>
      </c>
      <c r="U666" s="1" t="s">
        <v>1765</v>
      </c>
      <c r="V666" t="str">
        <f t="shared" si="52"/>
        <v>T3b*0,5</v>
      </c>
      <c r="W666" s="3">
        <f t="shared" si="53"/>
        <v>0.32500000000000001</v>
      </c>
      <c r="X666"/>
      <c r="Z666"/>
    </row>
    <row r="667" spans="15:26" x14ac:dyDescent="0.35">
      <c r="O667" s="1" t="s">
        <v>1765</v>
      </c>
      <c r="P667" t="str">
        <f t="shared" ref="P667" si="70">CONCATENATE(P521,"*0,5")</f>
        <v>T6a*0,5</v>
      </c>
      <c r="Q667" s="3">
        <f t="shared" ref="Q667" si="71">Q521*0.5</f>
        <v>0.55000000000000004</v>
      </c>
      <c r="R667" s="1" t="s">
        <v>1765</v>
      </c>
      <c r="S667" t="str">
        <f t="shared" ref="S667" si="72">CONCATENATE(S521,"*0,5")</f>
        <v>T6a*0,5</v>
      </c>
      <c r="T667" s="3">
        <f t="shared" ref="T667" si="73">T521*0.5</f>
        <v>0.55000000000000004</v>
      </c>
      <c r="U667" s="1" t="s">
        <v>1765</v>
      </c>
      <c r="V667" t="str">
        <f t="shared" si="52"/>
        <v>T3c*0,5</v>
      </c>
      <c r="W667" s="3">
        <f t="shared" si="53"/>
        <v>0.32500000000000001</v>
      </c>
      <c r="X667"/>
      <c r="Z667"/>
    </row>
    <row r="668" spans="15:26" x14ac:dyDescent="0.35">
      <c r="O668" s="1" t="s">
        <v>1765</v>
      </c>
      <c r="P668" t="str">
        <f t="shared" ref="P668" si="74">CONCATENATE(P522,"*0,5")</f>
        <v>T6b*0,5</v>
      </c>
      <c r="Q668" s="3">
        <f t="shared" ref="Q668" si="75">Q522*0.5</f>
        <v>0.55000000000000004</v>
      </c>
      <c r="R668" s="1" t="s">
        <v>1765</v>
      </c>
      <c r="S668" t="str">
        <f t="shared" ref="S668" si="76">CONCATENATE(S522,"*0,5")</f>
        <v>T6b*0,5</v>
      </c>
      <c r="T668" s="3">
        <f t="shared" ref="T668" si="77">T522*0.5</f>
        <v>0.55000000000000004</v>
      </c>
      <c r="U668" s="1" t="s">
        <v>1765</v>
      </c>
      <c r="V668" t="str">
        <f t="shared" si="52"/>
        <v>T3d*0,5</v>
      </c>
      <c r="W668" s="3">
        <f t="shared" si="53"/>
        <v>0.32500000000000001</v>
      </c>
      <c r="X668"/>
      <c r="Z668"/>
    </row>
    <row r="669" spans="15:26" x14ac:dyDescent="0.35">
      <c r="O669" s="1" t="s">
        <v>1765</v>
      </c>
      <c r="P669" t="str">
        <f t="shared" ref="P669" si="78">CONCATENATE(P523,"*0,5")</f>
        <v>T6c*0,5</v>
      </c>
      <c r="Q669" s="3">
        <f t="shared" ref="Q669" si="79">Q523*0.5</f>
        <v>0.55000000000000004</v>
      </c>
      <c r="R669" s="1" t="s">
        <v>1765</v>
      </c>
      <c r="S669" t="str">
        <f t="shared" ref="S669" si="80">CONCATENATE(S523,"*0,5")</f>
        <v>T6c*0,5</v>
      </c>
      <c r="T669" s="3">
        <f t="shared" ref="T669" si="81">T523*0.5</f>
        <v>0.55000000000000004</v>
      </c>
      <c r="U669" s="1" t="s">
        <v>1765</v>
      </c>
      <c r="V669" t="str">
        <f t="shared" si="52"/>
        <v>T4a*0,5</v>
      </c>
      <c r="W669" s="3">
        <f t="shared" si="53"/>
        <v>0.4</v>
      </c>
      <c r="X669"/>
      <c r="Z669"/>
    </row>
    <row r="670" spans="15:26" x14ac:dyDescent="0.35">
      <c r="O670" s="1" t="s">
        <v>1765</v>
      </c>
      <c r="P670" t="str">
        <f t="shared" ref="P670" si="82">CONCATENATE(P524,"*0,5")</f>
        <v>T7*0,5</v>
      </c>
      <c r="Q670" s="3">
        <f t="shared" ref="Q670" si="83">Q524*0.5</f>
        <v>0.75</v>
      </c>
      <c r="R670" s="1" t="s">
        <v>1765</v>
      </c>
      <c r="S670" t="str">
        <f t="shared" ref="S670" si="84">CONCATENATE(S524,"*0,5")</f>
        <v>T7*0,5</v>
      </c>
      <c r="T670" s="3">
        <f t="shared" ref="T670" si="85">T524*0.5</f>
        <v>0.75</v>
      </c>
      <c r="U670" s="1" t="s">
        <v>1765</v>
      </c>
      <c r="V670" t="str">
        <f t="shared" si="52"/>
        <v>T4b*0,5</v>
      </c>
      <c r="W670" s="3">
        <f t="shared" si="53"/>
        <v>0.4</v>
      </c>
      <c r="X670"/>
      <c r="Z670"/>
    </row>
    <row r="671" spans="15:26" x14ac:dyDescent="0.35">
      <c r="O671" s="1" t="s">
        <v>1765</v>
      </c>
      <c r="P671" t="str">
        <f t="shared" ref="P671" si="86">CONCATENATE(P525,"*0,5")</f>
        <v>T8*0,5</v>
      </c>
      <c r="Q671" s="3">
        <f t="shared" ref="Q671" si="87">Q525*0.5</f>
        <v>0.85</v>
      </c>
      <c r="R671" s="1" t="s">
        <v>1765</v>
      </c>
      <c r="S671" t="str">
        <f t="shared" ref="S671" si="88">CONCATENATE(S525,"*0,5")</f>
        <v>T8*0,5</v>
      </c>
      <c r="T671" s="3">
        <f t="shared" ref="T671" si="89">T525*0.5</f>
        <v>0.85</v>
      </c>
      <c r="U671" s="1" t="s">
        <v>1765</v>
      </c>
      <c r="V671" t="str">
        <f t="shared" si="52"/>
        <v>T4c*0,5</v>
      </c>
      <c r="W671" s="3">
        <f t="shared" si="53"/>
        <v>0.4</v>
      </c>
      <c r="X671"/>
      <c r="Z671"/>
    </row>
    <row r="672" spans="15:26" x14ac:dyDescent="0.35">
      <c r="O672" s="1" t="s">
        <v>1765</v>
      </c>
      <c r="P672" t="str">
        <f t="shared" ref="P672" si="90">CONCATENATE(P526,"*0,5")</f>
        <v>T9a*0,5</v>
      </c>
      <c r="Q672" s="3">
        <f t="shared" ref="Q672" si="91">Q526*0.5</f>
        <v>1</v>
      </c>
      <c r="R672" s="1" t="s">
        <v>1765</v>
      </c>
      <c r="S672" t="str">
        <f t="shared" ref="S672" si="92">CONCATENATE(S526,"*0,5")</f>
        <v>T9a*0,5</v>
      </c>
      <c r="T672" s="3">
        <f t="shared" ref="T672" si="93">T526*0.5</f>
        <v>1</v>
      </c>
      <c r="U672" s="1" t="s">
        <v>1765</v>
      </c>
      <c r="V672" t="str">
        <f t="shared" si="52"/>
        <v>T4d*0,5</v>
      </c>
      <c r="W672" s="3">
        <f t="shared" si="53"/>
        <v>0.4</v>
      </c>
      <c r="X672"/>
      <c r="Z672"/>
    </row>
    <row r="673" spans="15:26" x14ac:dyDescent="0.35">
      <c r="O673" s="1" t="s">
        <v>1765</v>
      </c>
      <c r="P673" t="str">
        <f t="shared" ref="P673" si="94">CONCATENATE(P527,"*0,5")</f>
        <v>T9b*0,5</v>
      </c>
      <c r="Q673" s="3">
        <f t="shared" ref="Q673" si="95">Q527*0.5</f>
        <v>1</v>
      </c>
      <c r="R673" s="1" t="s">
        <v>1765</v>
      </c>
      <c r="S673" t="str">
        <f t="shared" ref="S673" si="96">CONCATENATE(S527,"*0,5")</f>
        <v>T9b*0,5</v>
      </c>
      <c r="T673" s="3">
        <f t="shared" ref="T673" si="97">T527*0.5</f>
        <v>1</v>
      </c>
      <c r="U673" s="1" t="s">
        <v>1765</v>
      </c>
      <c r="V673" t="str">
        <f t="shared" si="52"/>
        <v>T4e*0,5</v>
      </c>
      <c r="W673" s="3">
        <f t="shared" si="53"/>
        <v>0.4</v>
      </c>
      <c r="X673"/>
      <c r="Z673"/>
    </row>
    <row r="674" spans="15:26" x14ac:dyDescent="0.35">
      <c r="O674" s="1" t="s">
        <v>1766</v>
      </c>
      <c r="P674" t="str">
        <f t="shared" ref="P674" si="98">CONCATENATE(P528,"*0,5")</f>
        <v>SB*0,5</v>
      </c>
      <c r="Q674" s="3">
        <f t="shared" ref="Q674" si="99">Q528*0.5</f>
        <v>7.4999999999999997E-2</v>
      </c>
      <c r="R674" s="1" t="s">
        <v>1766</v>
      </c>
      <c r="S674" t="str">
        <f t="shared" ref="S674" si="100">CONCATENATE(S528,"*0,5")</f>
        <v>SB*0,5</v>
      </c>
      <c r="T674" s="3">
        <f t="shared" ref="T674" si="101">T528*0.5</f>
        <v>7.4999999999999997E-2</v>
      </c>
      <c r="U674" s="1" t="s">
        <v>1765</v>
      </c>
      <c r="V674" t="str">
        <f t="shared" si="52"/>
        <v>T5a*0,5</v>
      </c>
      <c r="W674" s="3">
        <f t="shared" si="53"/>
        <v>0.45</v>
      </c>
      <c r="X674"/>
      <c r="Z674"/>
    </row>
    <row r="675" spans="15:26" x14ac:dyDescent="0.35">
      <c r="O675" s="1" t="s">
        <v>1766</v>
      </c>
      <c r="P675" t="str">
        <f t="shared" ref="P675" si="102">CONCATENATE(P529,"*0,5")</f>
        <v>SCB*0,5</v>
      </c>
      <c r="Q675" s="3">
        <f t="shared" ref="Q675" si="103">Q529*0.5</f>
        <v>0.17499999999999999</v>
      </c>
      <c r="R675" s="1" t="s">
        <v>1766</v>
      </c>
      <c r="S675" t="str">
        <f t="shared" ref="S675" si="104">CONCATENATE(S529,"*0,5")</f>
        <v>SCB*0,5</v>
      </c>
      <c r="T675" s="3">
        <f t="shared" ref="T675" si="105">T529*0.5</f>
        <v>0.17499999999999999</v>
      </c>
      <c r="U675" s="1" t="s">
        <v>1765</v>
      </c>
      <c r="V675" t="str">
        <f t="shared" si="52"/>
        <v>T5b*0,5</v>
      </c>
      <c r="W675" s="3">
        <f t="shared" si="53"/>
        <v>0.45</v>
      </c>
      <c r="X675"/>
      <c r="Z675"/>
    </row>
    <row r="676" spans="15:26" x14ac:dyDescent="0.35">
      <c r="O676" s="1" t="s">
        <v>1766</v>
      </c>
      <c r="P676" t="str">
        <f t="shared" ref="P676" si="106">CONCATENATE(P530,"*0,5")</f>
        <v>SCDB*0,5</v>
      </c>
      <c r="Q676" s="3">
        <f t="shared" ref="Q676" si="107">Q530*0.5</f>
        <v>0.2</v>
      </c>
      <c r="R676" s="1" t="s">
        <v>1766</v>
      </c>
      <c r="S676" t="str">
        <f t="shared" ref="S676" si="108">CONCATENATE(S530,"*0,5")</f>
        <v>SCDB*0,5</v>
      </c>
      <c r="T676" s="3">
        <f t="shared" ref="T676" si="109">T530*0.5</f>
        <v>0.2</v>
      </c>
      <c r="U676" s="1" t="s">
        <v>1765</v>
      </c>
      <c r="V676" t="str">
        <f t="shared" si="52"/>
        <v>T5c*0,5</v>
      </c>
      <c r="W676" s="3">
        <f t="shared" si="53"/>
        <v>0.45</v>
      </c>
      <c r="X676"/>
      <c r="Z676"/>
    </row>
    <row r="677" spans="15:26" x14ac:dyDescent="0.35">
      <c r="O677" s="1" t="s">
        <v>1766</v>
      </c>
      <c r="P677" t="str">
        <f t="shared" ref="P677" si="110">CONCATENATE(P531,"*0,5")</f>
        <v>S1*0,5</v>
      </c>
      <c r="Q677" s="3">
        <f t="shared" ref="Q677" si="111">Q531*0.5</f>
        <v>0.17499999999999999</v>
      </c>
      <c r="R677" s="1" t="s">
        <v>1766</v>
      </c>
      <c r="S677" t="str">
        <f t="shared" ref="S677" si="112">CONCATENATE(S531,"*0,5")</f>
        <v>S1*0,5</v>
      </c>
      <c r="T677" s="3">
        <f t="shared" ref="T677" si="113">T531*0.5</f>
        <v>0.17499999999999999</v>
      </c>
      <c r="U677" s="1" t="s">
        <v>1765</v>
      </c>
      <c r="V677" t="str">
        <f t="shared" si="52"/>
        <v>T5d*0,5</v>
      </c>
      <c r="W677" s="3">
        <f t="shared" si="53"/>
        <v>0.45</v>
      </c>
      <c r="X677"/>
      <c r="Z677"/>
    </row>
    <row r="678" spans="15:26" x14ac:dyDescent="0.35">
      <c r="O678" s="1" t="s">
        <v>1766</v>
      </c>
      <c r="P678" t="str">
        <f t="shared" ref="P678" si="114">CONCATENATE(P532,"*0,5")</f>
        <v>SC1*0,5</v>
      </c>
      <c r="Q678" s="3">
        <f t="shared" ref="Q678" si="115">Q532*0.5</f>
        <v>0.4</v>
      </c>
      <c r="R678" s="1" t="s">
        <v>1766</v>
      </c>
      <c r="S678" t="str">
        <f t="shared" ref="S678" si="116">CONCATENATE(S532,"*0,5")</f>
        <v>SC1*0,5</v>
      </c>
      <c r="T678" s="3">
        <f t="shared" ref="T678" si="117">T532*0.5</f>
        <v>0.4</v>
      </c>
      <c r="U678" s="1" t="s">
        <v>1765</v>
      </c>
      <c r="V678" t="str">
        <f t="shared" si="52"/>
        <v>T5e*0,5</v>
      </c>
      <c r="W678" s="3">
        <f t="shared" si="53"/>
        <v>0.45</v>
      </c>
      <c r="X678"/>
      <c r="Z678"/>
    </row>
    <row r="679" spans="15:26" x14ac:dyDescent="0.35">
      <c r="O679" s="1" t="s">
        <v>1766</v>
      </c>
      <c r="P679" t="str">
        <f t="shared" ref="P679" si="118">CONCATENATE(P533,"*0,5")</f>
        <v>SCD1*0,5</v>
      </c>
      <c r="Q679" s="3">
        <f t="shared" ref="Q679" si="119">Q533*0.5</f>
        <v>0.42499999999999999</v>
      </c>
      <c r="R679" s="1" t="s">
        <v>1766</v>
      </c>
      <c r="S679" t="str">
        <f t="shared" ref="S679" si="120">CONCATENATE(S533,"*0,5")</f>
        <v>SCD1*0,5</v>
      </c>
      <c r="T679" s="3">
        <f t="shared" ref="T679" si="121">T533*0.5</f>
        <v>0.42499999999999999</v>
      </c>
      <c r="U679" s="1" t="s">
        <v>1765</v>
      </c>
      <c r="V679" t="str">
        <f t="shared" si="52"/>
        <v>T6a*0,5</v>
      </c>
      <c r="W679" s="3">
        <f t="shared" si="53"/>
        <v>0.55000000000000004</v>
      </c>
      <c r="X679"/>
      <c r="Z679"/>
    </row>
    <row r="680" spans="15:26" x14ac:dyDescent="0.35">
      <c r="O680" s="1" t="s">
        <v>1766</v>
      </c>
      <c r="P680" t="str">
        <f t="shared" ref="P680" si="122">CONCATENATE(P534,"*0,5")</f>
        <v>S2*0,5</v>
      </c>
      <c r="Q680" s="3">
        <f t="shared" ref="Q680" si="123">Q534*0.5</f>
        <v>0.375</v>
      </c>
      <c r="R680" s="1" t="s">
        <v>1766</v>
      </c>
      <c r="S680" t="str">
        <f t="shared" ref="S680" si="124">CONCATENATE(S534,"*0,5")</f>
        <v>S2*0,5</v>
      </c>
      <c r="T680" s="3">
        <f t="shared" ref="T680" si="125">T534*0.5</f>
        <v>0.375</v>
      </c>
      <c r="U680" s="1" t="s">
        <v>1765</v>
      </c>
      <c r="V680" t="str">
        <f t="shared" si="52"/>
        <v>T6b*0,5</v>
      </c>
      <c r="W680" s="3">
        <f t="shared" si="53"/>
        <v>0.55000000000000004</v>
      </c>
      <c r="X680"/>
      <c r="Z680"/>
    </row>
    <row r="681" spans="15:26" x14ac:dyDescent="0.35">
      <c r="O681" s="1" t="s">
        <v>1766</v>
      </c>
      <c r="P681" t="str">
        <f t="shared" ref="P681" si="126">CONCATENATE(P535,"*0,5")</f>
        <v>SC2*0,5</v>
      </c>
      <c r="Q681" s="3">
        <f t="shared" ref="Q681" si="127">Q535*0.5</f>
        <v>0.8</v>
      </c>
      <c r="R681" s="1" t="s">
        <v>1766</v>
      </c>
      <c r="S681" t="str">
        <f t="shared" ref="S681" si="128">CONCATENATE(S535,"*0,5")</f>
        <v>SC2*0,5</v>
      </c>
      <c r="T681" s="3">
        <f t="shared" ref="T681" si="129">T535*0.5</f>
        <v>0.8</v>
      </c>
      <c r="U681" s="1" t="s">
        <v>1765</v>
      </c>
      <c r="V681" t="str">
        <f t="shared" si="52"/>
        <v>T6c*0,5</v>
      </c>
      <c r="W681" s="3">
        <f t="shared" si="53"/>
        <v>0.55000000000000004</v>
      </c>
      <c r="X681"/>
      <c r="Z681"/>
    </row>
    <row r="682" spans="15:26" x14ac:dyDescent="0.35">
      <c r="O682" s="1" t="s">
        <v>1766</v>
      </c>
      <c r="P682" t="str">
        <f t="shared" ref="P682" si="130">CONCATENATE(P536,"*0,5")</f>
        <v>SCD2*0,5</v>
      </c>
      <c r="Q682" s="3">
        <f t="shared" ref="Q682" si="131">Q536*0.5</f>
        <v>0.82499999999999996</v>
      </c>
      <c r="R682" s="1" t="s">
        <v>1766</v>
      </c>
      <c r="S682" t="str">
        <f t="shared" ref="S682" si="132">CONCATENATE(S536,"*0,5")</f>
        <v>SCD2*0,5</v>
      </c>
      <c r="T682" s="3">
        <f t="shared" ref="T682" si="133">T536*0.5</f>
        <v>0.82499999999999996</v>
      </c>
      <c r="U682" s="1" t="s">
        <v>1765</v>
      </c>
      <c r="V682" t="str">
        <f t="shared" si="52"/>
        <v>T7*0,5</v>
      </c>
      <c r="W682" s="3">
        <f t="shared" si="53"/>
        <v>0.75</v>
      </c>
      <c r="X682"/>
      <c r="Z682"/>
    </row>
    <row r="683" spans="15:26" x14ac:dyDescent="0.35">
      <c r="O683" s="1" t="s">
        <v>1766</v>
      </c>
      <c r="P683" t="str">
        <f t="shared" ref="P683" si="134">CONCATENATE(P537,"*0,5")</f>
        <v>S3*0,5</v>
      </c>
      <c r="Q683" s="3">
        <f t="shared" ref="Q683" si="135">Q537*0.5</f>
        <v>0.57499999999999996</v>
      </c>
      <c r="R683" s="1" t="s">
        <v>1766</v>
      </c>
      <c r="S683" t="str">
        <f t="shared" ref="S683" si="136">CONCATENATE(S537,"*0,5")</f>
        <v>S3*0,5</v>
      </c>
      <c r="T683" s="3">
        <f t="shared" ref="T683" si="137">T537*0.5</f>
        <v>0.57499999999999996</v>
      </c>
      <c r="U683" s="1" t="s">
        <v>1765</v>
      </c>
      <c r="V683" t="str">
        <f t="shared" si="52"/>
        <v>T8*0,5</v>
      </c>
      <c r="W683" s="3">
        <f t="shared" si="53"/>
        <v>0.85</v>
      </c>
      <c r="X683"/>
      <c r="Z683"/>
    </row>
    <row r="684" spans="15:26" x14ac:dyDescent="0.35">
      <c r="O684" s="1" t="s">
        <v>1766</v>
      </c>
      <c r="P684" t="str">
        <f t="shared" ref="P684" si="138">CONCATENATE(P538,"*0,5")</f>
        <v>SC3*0,5</v>
      </c>
      <c r="Q684" s="3">
        <f t="shared" ref="Q684" si="139">Q538*0.5</f>
        <v>1.2</v>
      </c>
      <c r="R684" s="1" t="s">
        <v>1766</v>
      </c>
      <c r="S684" t="str">
        <f t="shared" ref="S684" si="140">CONCATENATE(S538,"*0,5")</f>
        <v>SC3*0,5</v>
      </c>
      <c r="T684" s="3">
        <f t="shared" ref="T684" si="141">T538*0.5</f>
        <v>1.2</v>
      </c>
      <c r="U684" s="1" t="s">
        <v>1765</v>
      </c>
      <c r="V684" t="str">
        <f t="shared" si="52"/>
        <v>T9a*0,5</v>
      </c>
      <c r="W684" s="3">
        <f t="shared" si="53"/>
        <v>1</v>
      </c>
      <c r="X684"/>
      <c r="Z684"/>
    </row>
    <row r="685" spans="15:26" x14ac:dyDescent="0.35">
      <c r="O685" s="1" t="s">
        <v>1766</v>
      </c>
      <c r="P685" t="str">
        <f t="shared" ref="P685" si="142">CONCATENATE(P539,"*0,5")</f>
        <v>SCD3*0,5</v>
      </c>
      <c r="Q685" s="3">
        <f t="shared" ref="Q685" si="143">Q539*0.5</f>
        <v>1.2250000000000001</v>
      </c>
      <c r="R685" s="1" t="s">
        <v>1766</v>
      </c>
      <c r="S685" t="str">
        <f t="shared" ref="S685" si="144">CONCATENATE(S539,"*0,5")</f>
        <v>SCD3*0,5</v>
      </c>
      <c r="T685" s="3">
        <f t="shared" ref="T685" si="145">T539*0.5</f>
        <v>1.2250000000000001</v>
      </c>
      <c r="U685" s="1" t="s">
        <v>1765</v>
      </c>
      <c r="V685" t="str">
        <f t="shared" si="52"/>
        <v>T9b*0,5</v>
      </c>
      <c r="W685" s="3">
        <f t="shared" si="53"/>
        <v>1</v>
      </c>
      <c r="X685"/>
      <c r="Z685"/>
    </row>
    <row r="686" spans="15:26" x14ac:dyDescent="0.35">
      <c r="O686" s="1" t="s">
        <v>1766</v>
      </c>
      <c r="P686" t="str">
        <f t="shared" ref="P686" si="146">CONCATENATE(P540,"*0,5")</f>
        <v>S4*0,5</v>
      </c>
      <c r="Q686" s="3">
        <f t="shared" ref="Q686" si="147">Q540*0.5</f>
        <v>0.77500000000000002</v>
      </c>
      <c r="R686" s="1" t="s">
        <v>1766</v>
      </c>
      <c r="S686" t="str">
        <f t="shared" ref="S686" si="148">CONCATENATE(S540,"*0,5")</f>
        <v>S4*0,5</v>
      </c>
      <c r="T686" s="3">
        <f t="shared" ref="T686" si="149">T540*0.5</f>
        <v>0.77500000000000002</v>
      </c>
      <c r="U686" s="1" t="s">
        <v>1766</v>
      </c>
      <c r="V686" t="str">
        <f t="shared" si="52"/>
        <v>SB*0,5</v>
      </c>
      <c r="W686" s="3">
        <f t="shared" si="53"/>
        <v>7.4999999999999997E-2</v>
      </c>
      <c r="X686"/>
      <c r="Z686"/>
    </row>
    <row r="687" spans="15:26" x14ac:dyDescent="0.35">
      <c r="O687" s="1" t="s">
        <v>1766</v>
      </c>
      <c r="P687" t="str">
        <f t="shared" ref="P687" si="150">CONCATENATE(P541,"*0,5")</f>
        <v>SC4*0,5</v>
      </c>
      <c r="Q687" s="3">
        <f t="shared" ref="Q687" si="151">Q541*0.5</f>
        <v>1.6</v>
      </c>
      <c r="R687" s="1" t="s">
        <v>1766</v>
      </c>
      <c r="S687" t="str">
        <f t="shared" ref="S687" si="152">CONCATENATE(S541,"*0,5")</f>
        <v>SC4*0,5</v>
      </c>
      <c r="T687" s="3">
        <f t="shared" ref="T687" si="153">T541*0.5</f>
        <v>1.6</v>
      </c>
      <c r="U687" s="1" t="s">
        <v>1766</v>
      </c>
      <c r="V687" t="str">
        <f t="shared" si="52"/>
        <v>SCB*0,5</v>
      </c>
      <c r="W687" s="3">
        <f t="shared" si="53"/>
        <v>0.17499999999999999</v>
      </c>
      <c r="X687"/>
      <c r="Z687"/>
    </row>
    <row r="688" spans="15:26" x14ac:dyDescent="0.35">
      <c r="O688" s="1" t="s">
        <v>1766</v>
      </c>
      <c r="P688" t="str">
        <f t="shared" ref="P688" si="154">CONCATENATE(P542,"*0,5")</f>
        <v>SCD4*0,5</v>
      </c>
      <c r="Q688" s="3">
        <f t="shared" ref="Q688" si="155">Q542*0.5</f>
        <v>1.625</v>
      </c>
      <c r="R688" s="1" t="s">
        <v>1766</v>
      </c>
      <c r="S688" t="str">
        <f t="shared" ref="S688" si="156">CONCATENATE(S542,"*0,5")</f>
        <v>SCD4*0,5</v>
      </c>
      <c r="T688" s="3">
        <f t="shared" ref="T688" si="157">T542*0.5</f>
        <v>1.625</v>
      </c>
      <c r="U688" s="1" t="s">
        <v>1766</v>
      </c>
      <c r="V688" t="str">
        <f t="shared" si="52"/>
        <v>SCDB*0,5</v>
      </c>
      <c r="W688" s="3">
        <f t="shared" si="53"/>
        <v>0.2</v>
      </c>
      <c r="X688"/>
      <c r="Z688"/>
    </row>
    <row r="689" spans="15:26" x14ac:dyDescent="0.35">
      <c r="O689" s="1" t="s">
        <v>1766</v>
      </c>
      <c r="P689" t="str">
        <f t="shared" ref="P689" si="158">CONCATENATE(P543,"*0,5")</f>
        <v>S5*0,5</v>
      </c>
      <c r="Q689" s="3">
        <f t="shared" ref="Q689" si="159">Q543*0.5</f>
        <v>0.97499999999999998</v>
      </c>
      <c r="R689" s="1" t="s">
        <v>1766</v>
      </c>
      <c r="S689" t="str">
        <f t="shared" ref="S689" si="160">CONCATENATE(S543,"*0,5")</f>
        <v>S5*0,5</v>
      </c>
      <c r="T689" s="3">
        <f t="shared" ref="T689" si="161">T543*0.5</f>
        <v>0.97499999999999998</v>
      </c>
      <c r="U689" s="1" t="s">
        <v>1766</v>
      </c>
      <c r="V689" t="str">
        <f t="shared" si="52"/>
        <v>S1*0,5</v>
      </c>
      <c r="W689" s="3">
        <f t="shared" si="53"/>
        <v>0.17499999999999999</v>
      </c>
      <c r="X689"/>
      <c r="Z689"/>
    </row>
    <row r="690" spans="15:26" x14ac:dyDescent="0.35">
      <c r="O690" s="1" t="s">
        <v>1766</v>
      </c>
      <c r="P690" t="str">
        <f t="shared" ref="P690" si="162">CONCATENATE(P544,"*0,5")</f>
        <v>SC5*0,5</v>
      </c>
      <c r="Q690" s="3">
        <f t="shared" ref="Q690" si="163">Q544*0.5</f>
        <v>2</v>
      </c>
      <c r="R690" s="1" t="s">
        <v>1766</v>
      </c>
      <c r="S690" t="str">
        <f t="shared" ref="S690" si="164">CONCATENATE(S544,"*0,5")</f>
        <v>SC5*0,5</v>
      </c>
      <c r="T690" s="3">
        <f t="shared" ref="T690" si="165">T544*0.5</f>
        <v>2</v>
      </c>
      <c r="U690" s="1" t="s">
        <v>1766</v>
      </c>
      <c r="V690" t="str">
        <f t="shared" si="52"/>
        <v>SC1*0,5</v>
      </c>
      <c r="W690" s="3">
        <f t="shared" si="53"/>
        <v>0.4</v>
      </c>
      <c r="X690"/>
      <c r="Z690"/>
    </row>
    <row r="691" spans="15:26" x14ac:dyDescent="0.35">
      <c r="O691" s="1" t="s">
        <v>1766</v>
      </c>
      <c r="P691" t="str">
        <f t="shared" ref="P691" si="166">CONCATENATE(P545,"*0,5")</f>
        <v>SCD5*0,5</v>
      </c>
      <c r="Q691" s="3">
        <f t="shared" ref="Q691" si="167">Q545*0.5</f>
        <v>2.0249999999999999</v>
      </c>
      <c r="R691" s="1" t="s">
        <v>1766</v>
      </c>
      <c r="S691" t="str">
        <f t="shared" ref="S691" si="168">CONCATENATE(S545,"*0,5")</f>
        <v>SCD5*0,5</v>
      </c>
      <c r="T691" s="3">
        <f t="shared" ref="T691" si="169">T545*0.5</f>
        <v>2.0249999999999999</v>
      </c>
      <c r="U691" s="1" t="s">
        <v>1766</v>
      </c>
      <c r="V691" t="str">
        <f t="shared" si="52"/>
        <v>SCD1*0,5</v>
      </c>
      <c r="W691" s="3">
        <f t="shared" si="53"/>
        <v>0.42499999999999999</v>
      </c>
      <c r="X691"/>
      <c r="Z691"/>
    </row>
    <row r="692" spans="15:26" x14ac:dyDescent="0.35">
      <c r="O692" s="1" t="s">
        <v>1766</v>
      </c>
      <c r="P692" t="str">
        <f t="shared" ref="P692" si="170">CONCATENATE(P546,"*0,5")</f>
        <v>S6*0,5</v>
      </c>
      <c r="Q692" s="3">
        <f t="shared" ref="Q692" si="171">Q546*0.5</f>
        <v>1.175</v>
      </c>
      <c r="R692" s="1" t="s">
        <v>1766</v>
      </c>
      <c r="S692" t="str">
        <f t="shared" ref="S692" si="172">CONCATENATE(S546,"*0,5")</f>
        <v>S6*0,5</v>
      </c>
      <c r="T692" s="3">
        <f t="shared" ref="T692" si="173">T546*0.5</f>
        <v>1.175</v>
      </c>
      <c r="U692" s="1" t="s">
        <v>1766</v>
      </c>
      <c r="V692" t="str">
        <f t="shared" si="52"/>
        <v>S2*0,5</v>
      </c>
      <c r="W692" s="3">
        <f t="shared" si="53"/>
        <v>0.375</v>
      </c>
      <c r="X692"/>
      <c r="Z692"/>
    </row>
    <row r="693" spans="15:26" x14ac:dyDescent="0.35">
      <c r="O693" s="1" t="s">
        <v>1766</v>
      </c>
      <c r="P693" t="str">
        <f t="shared" ref="P693" si="174">CONCATENATE(P547,"*0,5")</f>
        <v>SC6*0,5</v>
      </c>
      <c r="Q693" s="3">
        <f t="shared" ref="Q693" si="175">Q547*0.5</f>
        <v>2.4</v>
      </c>
      <c r="R693" s="1" t="s">
        <v>1766</v>
      </c>
      <c r="S693" t="str">
        <f t="shared" ref="S693" si="176">CONCATENATE(S547,"*0,5")</f>
        <v>SC6*0,5</v>
      </c>
      <c r="T693" s="3">
        <f t="shared" ref="T693" si="177">T547*0.5</f>
        <v>2.4</v>
      </c>
      <c r="U693" s="1" t="s">
        <v>1766</v>
      </c>
      <c r="V693" t="str">
        <f t="shared" si="52"/>
        <v>SC2*0,5</v>
      </c>
      <c r="W693" s="3">
        <f t="shared" si="53"/>
        <v>0.8</v>
      </c>
      <c r="X693"/>
      <c r="Z693"/>
    </row>
    <row r="694" spans="15:26" x14ac:dyDescent="0.35">
      <c r="O694" s="1" t="s">
        <v>1766</v>
      </c>
      <c r="P694" t="str">
        <f t="shared" ref="P694" si="178">CONCATENATE(P548,"*0,5")</f>
        <v>SCD6*0,5</v>
      </c>
      <c r="Q694" s="3">
        <f t="shared" ref="Q694" si="179">Q548*0.5</f>
        <v>2.4249999999999998</v>
      </c>
      <c r="R694" s="1" t="s">
        <v>1766</v>
      </c>
      <c r="S694" t="str">
        <f t="shared" ref="S694" si="180">CONCATENATE(S548,"*0,5")</f>
        <v>SCD6*0,5</v>
      </c>
      <c r="T694" s="3">
        <f t="shared" ref="T694" si="181">T548*0.5</f>
        <v>2.4249999999999998</v>
      </c>
      <c r="U694" s="1" t="s">
        <v>1766</v>
      </c>
      <c r="V694" t="str">
        <f t="shared" si="52"/>
        <v>SCD2*0,5</v>
      </c>
      <c r="W694" s="3">
        <f t="shared" si="53"/>
        <v>0.82499999999999996</v>
      </c>
      <c r="X694"/>
      <c r="Z694"/>
    </row>
    <row r="695" spans="15:26" x14ac:dyDescent="0.35">
      <c r="O695" s="1" t="s">
        <v>1766</v>
      </c>
      <c r="P695" t="str">
        <f t="shared" ref="P695" si="182">CONCATENATE(P549,"*0,5")</f>
        <v>S7*0,5</v>
      </c>
      <c r="Q695" s="3">
        <f t="shared" ref="Q695" si="183">Q549*0.5</f>
        <v>1.375</v>
      </c>
      <c r="R695" s="1" t="s">
        <v>1766</v>
      </c>
      <c r="S695" t="str">
        <f t="shared" ref="S695" si="184">CONCATENATE(S549,"*0,5")</f>
        <v>S7*0,5</v>
      </c>
      <c r="T695" s="3">
        <f t="shared" ref="T695" si="185">T549*0.5</f>
        <v>1.375</v>
      </c>
      <c r="U695" s="1" t="s">
        <v>1766</v>
      </c>
      <c r="V695" t="str">
        <f t="shared" si="52"/>
        <v>S3*0,5</v>
      </c>
      <c r="W695" s="3">
        <f t="shared" si="53"/>
        <v>0.57499999999999996</v>
      </c>
      <c r="X695"/>
      <c r="Z695"/>
    </row>
    <row r="696" spans="15:26" x14ac:dyDescent="0.35">
      <c r="O696" s="1" t="s">
        <v>1766</v>
      </c>
      <c r="P696" t="str">
        <f t="shared" ref="P696" si="186">CONCATENATE(P550,"*0,5")</f>
        <v>S8*0,5</v>
      </c>
      <c r="Q696" s="3">
        <f t="shared" ref="Q696" si="187">Q550*0.5</f>
        <v>1.575</v>
      </c>
      <c r="R696" s="1" t="s">
        <v>1766</v>
      </c>
      <c r="S696" t="str">
        <f t="shared" ref="S696" si="188">CONCATENATE(S550,"*0,5")</f>
        <v>S8*0,5</v>
      </c>
      <c r="T696" s="3">
        <f t="shared" ref="T696" si="189">T550*0.5</f>
        <v>1.575</v>
      </c>
      <c r="U696" s="1" t="s">
        <v>1766</v>
      </c>
      <c r="V696" t="str">
        <f t="shared" si="52"/>
        <v>SC3*0,5</v>
      </c>
      <c r="W696" s="3">
        <f t="shared" si="53"/>
        <v>1.2</v>
      </c>
      <c r="X696"/>
      <c r="Z696"/>
    </row>
    <row r="697" spans="15:26" x14ac:dyDescent="0.35">
      <c r="O697" s="1" t="s">
        <v>1766</v>
      </c>
      <c r="P697" t="str">
        <f t="shared" ref="P697" si="190">CONCATENATE(P551,"*0,5")</f>
        <v>S9*0,5</v>
      </c>
      <c r="Q697" s="3">
        <f t="shared" ref="Q697" si="191">Q551*0.5</f>
        <v>1.7749999999999999</v>
      </c>
      <c r="R697" s="1" t="s">
        <v>1766</v>
      </c>
      <c r="S697" t="str">
        <f t="shared" ref="S697" si="192">CONCATENATE(S551,"*0,5")</f>
        <v>S9*0,5</v>
      </c>
      <c r="T697" s="3">
        <f t="shared" ref="T697" si="193">T551*0.5</f>
        <v>1.7749999999999999</v>
      </c>
      <c r="U697" s="1" t="s">
        <v>1766</v>
      </c>
      <c r="V697" t="str">
        <f t="shared" si="52"/>
        <v>SCD3*0,5</v>
      </c>
      <c r="W697" s="3">
        <f t="shared" si="53"/>
        <v>1.2250000000000001</v>
      </c>
      <c r="X697"/>
      <c r="Z697"/>
    </row>
    <row r="698" spans="15:26" x14ac:dyDescent="0.35">
      <c r="O698" s="1" t="s">
        <v>1766</v>
      </c>
      <c r="P698" t="str">
        <f t="shared" ref="P698" si="194">CONCATENATE(P552,"*0,5")</f>
        <v>S10*0,5</v>
      </c>
      <c r="Q698" s="3">
        <f t="shared" ref="Q698" si="195">Q552*0.5</f>
        <v>1.9750000000000001</v>
      </c>
      <c r="R698" s="1" t="s">
        <v>1766</v>
      </c>
      <c r="S698" t="str">
        <f t="shared" ref="S698" si="196">CONCATENATE(S552,"*0,5")</f>
        <v>S10*0,5</v>
      </c>
      <c r="T698" s="3">
        <f t="shared" ref="T698" si="197">T552*0.5</f>
        <v>1.9750000000000001</v>
      </c>
      <c r="U698" s="1" t="s">
        <v>1766</v>
      </c>
      <c r="V698" t="str">
        <f t="shared" si="52"/>
        <v>S4*0,5</v>
      </c>
      <c r="W698" s="3">
        <f t="shared" si="53"/>
        <v>0.77500000000000002</v>
      </c>
      <c r="X698"/>
      <c r="Z698"/>
    </row>
    <row r="699" spans="15:26" x14ac:dyDescent="0.35">
      <c r="O699" s="1" t="s">
        <v>1767</v>
      </c>
      <c r="P699" t="str">
        <f t="shared" ref="P699" si="198">CONCATENATE(P553,"*0,5")</f>
        <v>RB*0,5</v>
      </c>
      <c r="Q699" s="3">
        <f t="shared" ref="Q699" si="199">Q553*0.5</f>
        <v>0.05</v>
      </c>
      <c r="R699" s="1" t="s">
        <v>1767</v>
      </c>
      <c r="S699" t="str">
        <f t="shared" ref="S699" si="200">CONCATENATE(S553,"*0,5")</f>
        <v>RB*0,5</v>
      </c>
      <c r="T699" s="3">
        <f t="shared" ref="T699" si="201">T553*0.5</f>
        <v>0.05</v>
      </c>
      <c r="U699" s="1" t="s">
        <v>1766</v>
      </c>
      <c r="V699" t="str">
        <f t="shared" si="52"/>
        <v>SC4*0,5</v>
      </c>
      <c r="W699" s="3">
        <f t="shared" si="53"/>
        <v>1.6</v>
      </c>
      <c r="X699"/>
      <c r="Z699"/>
    </row>
    <row r="700" spans="15:26" x14ac:dyDescent="0.35">
      <c r="O700" s="1" t="s">
        <v>1767</v>
      </c>
      <c r="P700" t="str">
        <f t="shared" ref="P700" si="202">CONCATENATE(P554,"*0,5")</f>
        <v>1RB*0,5</v>
      </c>
      <c r="Q700" s="3">
        <f t="shared" ref="Q700" si="203">Q554*0.5</f>
        <v>7.4999999999999997E-2</v>
      </c>
      <c r="R700" s="1" t="s">
        <v>1767</v>
      </c>
      <c r="S700" t="str">
        <f t="shared" ref="S700" si="204">CONCATENATE(S554,"*0,5")</f>
        <v>1RB*0,5</v>
      </c>
      <c r="T700" s="3">
        <f t="shared" ref="T700" si="205">T554*0.5</f>
        <v>7.4999999999999997E-2</v>
      </c>
      <c r="U700" s="1" t="s">
        <v>1766</v>
      </c>
      <c r="V700" t="str">
        <f t="shared" si="52"/>
        <v>SCD4*0,5</v>
      </c>
      <c r="W700" s="3">
        <f t="shared" si="53"/>
        <v>1.625</v>
      </c>
      <c r="X700"/>
      <c r="Z700"/>
    </row>
    <row r="701" spans="15:26" x14ac:dyDescent="0.35">
      <c r="O701" s="1" t="s">
        <v>1767</v>
      </c>
      <c r="P701" t="str">
        <f t="shared" ref="P701" si="206">CONCATENATE(P555,"*0,5")</f>
        <v>2RB*0,5</v>
      </c>
      <c r="Q701" s="3">
        <f t="shared" ref="Q701" si="207">Q555*0.5</f>
        <v>0.1</v>
      </c>
      <c r="R701" s="1" t="s">
        <v>1767</v>
      </c>
      <c r="S701" t="str">
        <f t="shared" ref="S701" si="208">CONCATENATE(S555,"*0,5")</f>
        <v>2RB*0,5</v>
      </c>
      <c r="T701" s="3">
        <f t="shared" ref="T701" si="209">T555*0.5</f>
        <v>0.1</v>
      </c>
      <c r="U701" s="1" t="s">
        <v>1766</v>
      </c>
      <c r="V701" t="str">
        <f t="shared" si="52"/>
        <v>S5*0,5</v>
      </c>
      <c r="W701" s="3">
        <f t="shared" si="53"/>
        <v>0.97499999999999998</v>
      </c>
      <c r="X701"/>
      <c r="Z701"/>
    </row>
    <row r="702" spans="15:26" x14ac:dyDescent="0.35">
      <c r="O702" s="1" t="s">
        <v>1767</v>
      </c>
      <c r="P702" t="str">
        <f t="shared" ref="P702" si="210">CONCATENATE(P556,"*0,5")</f>
        <v>ROB*0,5</v>
      </c>
      <c r="Q702" s="3">
        <f t="shared" ref="Q702" si="211">Q556*0.5</f>
        <v>0.125</v>
      </c>
      <c r="R702" s="1" t="s">
        <v>1767</v>
      </c>
      <c r="S702" t="str">
        <f t="shared" ref="S702" si="212">CONCATENATE(S556,"*0,5")</f>
        <v>ROB*0,5</v>
      </c>
      <c r="T702" s="3">
        <f t="shared" ref="T702" si="213">T556*0.5</f>
        <v>0.125</v>
      </c>
      <c r="U702" s="1" t="s">
        <v>1766</v>
      </c>
      <c r="V702" t="str">
        <f t="shared" si="52"/>
        <v>SC5*0,5</v>
      </c>
      <c r="W702" s="3">
        <f t="shared" si="53"/>
        <v>2</v>
      </c>
      <c r="X702"/>
      <c r="Z702"/>
    </row>
    <row r="703" spans="15:26" x14ac:dyDescent="0.35">
      <c r="O703" s="1" t="s">
        <v>1767</v>
      </c>
      <c r="P703" t="str">
        <f t="shared" ref="P703" si="214">CONCATENATE(P557,"*0,5")</f>
        <v>RCB*0,5</v>
      </c>
      <c r="Q703" s="3">
        <f t="shared" ref="Q703" si="215">Q557*0.5</f>
        <v>0.125</v>
      </c>
      <c r="R703" s="1" t="s">
        <v>1767</v>
      </c>
      <c r="S703" t="str">
        <f t="shared" ref="S703" si="216">CONCATENATE(S557,"*0,5")</f>
        <v>RCB*0,5</v>
      </c>
      <c r="T703" s="3">
        <f t="shared" ref="T703" si="217">T557*0.5</f>
        <v>0.125</v>
      </c>
      <c r="U703" s="1" t="s">
        <v>1766</v>
      </c>
      <c r="V703" t="str">
        <f t="shared" si="52"/>
        <v>SCD5*0,5</v>
      </c>
      <c r="W703" s="3">
        <f t="shared" si="53"/>
        <v>2.0249999999999999</v>
      </c>
      <c r="X703"/>
      <c r="Z703"/>
    </row>
    <row r="704" spans="15:26" x14ac:dyDescent="0.35">
      <c r="O704" s="1" t="s">
        <v>1767</v>
      </c>
      <c r="P704" t="str">
        <f t="shared" ref="P704" si="218">CONCATENATE(P558,"*0,5")</f>
        <v>R1*0,5</v>
      </c>
      <c r="Q704" s="3">
        <f t="shared" ref="Q704" si="219">Q558*0.5</f>
        <v>0.1</v>
      </c>
      <c r="R704" s="1" t="s">
        <v>1767</v>
      </c>
      <c r="S704" t="str">
        <f t="shared" ref="S704" si="220">CONCATENATE(S558,"*0,5")</f>
        <v>R1*0,5</v>
      </c>
      <c r="T704" s="3">
        <f t="shared" ref="T704" si="221">T558*0.5</f>
        <v>0.1</v>
      </c>
      <c r="U704" s="1" t="s">
        <v>1766</v>
      </c>
      <c r="V704" t="str">
        <f t="shared" si="52"/>
        <v>S6*0,5</v>
      </c>
      <c r="W704" s="3">
        <f t="shared" si="53"/>
        <v>1.175</v>
      </c>
      <c r="X704"/>
      <c r="Z704"/>
    </row>
    <row r="705" spans="15:26" x14ac:dyDescent="0.35">
      <c r="O705" s="1" t="s">
        <v>1767</v>
      </c>
      <c r="P705" t="str">
        <f t="shared" ref="P705" si="222">CONCATENATE(P559,"*0,5")</f>
        <v>1R1*0,5</v>
      </c>
      <c r="Q705" s="3">
        <f t="shared" ref="Q705" si="223">Q559*0.5</f>
        <v>0.17499999999999999</v>
      </c>
      <c r="R705" s="1" t="s">
        <v>1767</v>
      </c>
      <c r="S705" t="str">
        <f t="shared" ref="S705" si="224">CONCATENATE(S559,"*0,5")</f>
        <v>1R1*0,5</v>
      </c>
      <c r="T705" s="3">
        <f t="shared" ref="T705" si="225">T559*0.5</f>
        <v>0.17499999999999999</v>
      </c>
      <c r="U705" s="1" t="s">
        <v>1766</v>
      </c>
      <c r="V705" t="str">
        <f t="shared" si="52"/>
        <v>SC6*0,5</v>
      </c>
      <c r="W705" s="3">
        <f t="shared" si="53"/>
        <v>2.4</v>
      </c>
      <c r="X705"/>
      <c r="Z705"/>
    </row>
    <row r="706" spans="15:26" x14ac:dyDescent="0.35">
      <c r="O706" s="1" t="s">
        <v>1767</v>
      </c>
      <c r="P706" t="str">
        <f t="shared" ref="P706" si="226">CONCATENATE(P560,"*0,5")</f>
        <v>2R1*0,5</v>
      </c>
      <c r="Q706" s="3">
        <f t="shared" ref="Q706" si="227">Q560*0.5</f>
        <v>0.22500000000000001</v>
      </c>
      <c r="R706" s="1" t="s">
        <v>1767</v>
      </c>
      <c r="S706" t="str">
        <f t="shared" ref="S706" si="228">CONCATENATE(S560,"*0,5")</f>
        <v>2R1*0,5</v>
      </c>
      <c r="T706" s="3">
        <f t="shared" ref="T706" si="229">T560*0.5</f>
        <v>0.22500000000000001</v>
      </c>
      <c r="U706" s="1" t="s">
        <v>1766</v>
      </c>
      <c r="V706" t="str">
        <f t="shared" si="52"/>
        <v>SCD6*0,5</v>
      </c>
      <c r="W706" s="3">
        <f t="shared" si="53"/>
        <v>2.4249999999999998</v>
      </c>
      <c r="X706"/>
      <c r="Z706"/>
    </row>
    <row r="707" spans="15:26" x14ac:dyDescent="0.35">
      <c r="O707" s="1" t="s">
        <v>1767</v>
      </c>
      <c r="P707" t="str">
        <f t="shared" ref="P707" si="230">CONCATENATE(P561,"*0,5")</f>
        <v>RD1*0,5</v>
      </c>
      <c r="Q707" s="3">
        <f t="shared" ref="Q707" si="231">Q561*0.5</f>
        <v>0.25</v>
      </c>
      <c r="R707" s="1" t="s">
        <v>1767</v>
      </c>
      <c r="S707" t="str">
        <f t="shared" ref="S707" si="232">CONCATENATE(S561,"*0,5")</f>
        <v>RD1*0,5</v>
      </c>
      <c r="T707" s="3">
        <f t="shared" ref="T707" si="233">T561*0.5</f>
        <v>0.25</v>
      </c>
      <c r="U707" s="1" t="s">
        <v>1766</v>
      </c>
      <c r="V707" t="str">
        <f t="shared" si="52"/>
        <v>S7*0,5</v>
      </c>
      <c r="W707" s="3">
        <f t="shared" si="53"/>
        <v>1.375</v>
      </c>
      <c r="X707"/>
      <c r="Z707"/>
    </row>
    <row r="708" spans="15:26" x14ac:dyDescent="0.35">
      <c r="O708" s="1" t="s">
        <v>1767</v>
      </c>
      <c r="P708" t="str">
        <f t="shared" ref="P708" si="234">CONCATENATE(P562,"*0,5")</f>
        <v>RU1*0,5</v>
      </c>
      <c r="Q708" s="3">
        <f t="shared" ref="Q708" si="235">Q562*0.5</f>
        <v>0.27500000000000002</v>
      </c>
      <c r="R708" s="1" t="s">
        <v>1767</v>
      </c>
      <c r="S708" t="str">
        <f t="shared" ref="S708" si="236">CONCATENATE(S562,"*0,5")</f>
        <v>RU1*0,5</v>
      </c>
      <c r="T708" s="3">
        <f t="shared" ref="T708" si="237">T562*0.5</f>
        <v>0.27500000000000002</v>
      </c>
      <c r="U708" s="1" t="s">
        <v>1766</v>
      </c>
      <c r="V708" t="str">
        <f t="shared" si="52"/>
        <v>S8*0,5</v>
      </c>
      <c r="W708" s="3">
        <f t="shared" si="53"/>
        <v>1.575</v>
      </c>
      <c r="X708"/>
      <c r="Z708"/>
    </row>
    <row r="709" spans="15:26" x14ac:dyDescent="0.35">
      <c r="O709" s="1" t="s">
        <v>1767</v>
      </c>
      <c r="P709" t="str">
        <f t="shared" ref="P709" si="238">CONCATENATE(P563,"*0,5")</f>
        <v>RO1*0,5</v>
      </c>
      <c r="Q709" s="3">
        <f t="shared" ref="Q709" si="239">Q563*0.5</f>
        <v>0.27500000000000002</v>
      </c>
      <c r="R709" s="1" t="s">
        <v>1767</v>
      </c>
      <c r="S709" t="str">
        <f t="shared" ref="S709" si="240">CONCATENATE(S563,"*0,5")</f>
        <v>RO1*0,5</v>
      </c>
      <c r="T709" s="3">
        <f t="shared" ref="T709" si="241">T563*0.5</f>
        <v>0.27500000000000002</v>
      </c>
      <c r="U709" s="1" t="s">
        <v>1766</v>
      </c>
      <c r="V709" t="str">
        <f t="shared" si="52"/>
        <v>S9*0,5</v>
      </c>
      <c r="W709" s="3">
        <f t="shared" si="53"/>
        <v>1.7749999999999999</v>
      </c>
      <c r="X709"/>
      <c r="Z709"/>
    </row>
    <row r="710" spans="15:26" x14ac:dyDescent="0.35">
      <c r="O710" s="1" t="s">
        <v>1767</v>
      </c>
      <c r="P710" t="str">
        <f t="shared" ref="P710" si="242">CONCATENATE(P564,"*0,5")</f>
        <v>RC1*0,5</v>
      </c>
      <c r="Q710" s="3">
        <f t="shared" ref="Q710" si="243">Q564*0.5</f>
        <v>0.27500000000000002</v>
      </c>
      <c r="R710" s="1" t="s">
        <v>1767</v>
      </c>
      <c r="S710" t="str">
        <f t="shared" ref="S710" si="244">CONCATENATE(S564,"*0,5")</f>
        <v>RC1*0,5</v>
      </c>
      <c r="T710" s="3">
        <f t="shared" ref="T710" si="245">T564*0.5</f>
        <v>0.27500000000000002</v>
      </c>
      <c r="U710" s="1" t="s">
        <v>1766</v>
      </c>
      <c r="V710" t="str">
        <f t="shared" si="52"/>
        <v>S10*0,5</v>
      </c>
      <c r="W710" s="3">
        <f t="shared" si="53"/>
        <v>1.9750000000000001</v>
      </c>
      <c r="X710"/>
      <c r="Z710"/>
    </row>
    <row r="711" spans="15:26" x14ac:dyDescent="0.35">
      <c r="O711" s="1" t="s">
        <v>1767</v>
      </c>
      <c r="P711" t="str">
        <f t="shared" ref="P711" si="246">CONCATENATE(P565,"*0,5")</f>
        <v>R2*0,5</v>
      </c>
      <c r="Q711" s="3">
        <f t="shared" ref="Q711" si="247">Q565*0.5</f>
        <v>0.2</v>
      </c>
      <c r="R711" s="1" t="s">
        <v>1767</v>
      </c>
      <c r="S711" t="str">
        <f t="shared" ref="S711" si="248">CONCATENATE(S565,"*0,5")</f>
        <v>R2*0,5</v>
      </c>
      <c r="T711" s="3">
        <f t="shared" ref="T711" si="249">T565*0.5</f>
        <v>0.2</v>
      </c>
      <c r="U711" s="1" t="s">
        <v>1767</v>
      </c>
      <c r="V711" t="str">
        <f t="shared" si="52"/>
        <v>RB*0,5</v>
      </c>
      <c r="W711" s="3">
        <f t="shared" si="53"/>
        <v>0.05</v>
      </c>
      <c r="X711"/>
      <c r="Z711"/>
    </row>
    <row r="712" spans="15:26" x14ac:dyDescent="0.35">
      <c r="O712" s="1" t="s">
        <v>1767</v>
      </c>
      <c r="P712" t="str">
        <f t="shared" ref="P712" si="250">CONCATENATE(P566,"*0,5")</f>
        <v>1R2*0,5</v>
      </c>
      <c r="Q712" s="3">
        <f t="shared" ref="Q712" si="251">Q566*0.5</f>
        <v>0.375</v>
      </c>
      <c r="R712" s="1" t="s">
        <v>1767</v>
      </c>
      <c r="S712" t="str">
        <f t="shared" ref="S712" si="252">CONCATENATE(S566,"*0,5")</f>
        <v>1R2*0,5</v>
      </c>
      <c r="T712" s="3">
        <f t="shared" ref="T712" si="253">T566*0.5</f>
        <v>0.375</v>
      </c>
      <c r="U712" s="1" t="s">
        <v>1767</v>
      </c>
      <c r="V712" t="str">
        <f t="shared" si="52"/>
        <v>1RB*0,5</v>
      </c>
      <c r="W712" s="3">
        <f t="shared" si="53"/>
        <v>7.4999999999999997E-2</v>
      </c>
      <c r="X712"/>
      <c r="Z712"/>
    </row>
    <row r="713" spans="15:26" x14ac:dyDescent="0.35">
      <c r="O713" s="1" t="s">
        <v>1767</v>
      </c>
      <c r="P713" t="str">
        <f t="shared" ref="P713" si="254">CONCATENATE(P567,"*0,5")</f>
        <v>2R2*0,5</v>
      </c>
      <c r="Q713" s="3">
        <f t="shared" ref="Q713" si="255">Q567*0.5</f>
        <v>0.47499999999999998</v>
      </c>
      <c r="R713" s="1" t="s">
        <v>1767</v>
      </c>
      <c r="S713" t="str">
        <f t="shared" ref="S713" si="256">CONCATENATE(S567,"*0,5")</f>
        <v>2R2*0,5</v>
      </c>
      <c r="T713" s="3">
        <f t="shared" ref="T713" si="257">T567*0.5</f>
        <v>0.47499999999999998</v>
      </c>
      <c r="U713" s="1" t="s">
        <v>1767</v>
      </c>
      <c r="V713" t="str">
        <f t="shared" si="52"/>
        <v>2RB*0,5</v>
      </c>
      <c r="W713" s="3">
        <f t="shared" si="53"/>
        <v>0.1</v>
      </c>
      <c r="X713"/>
      <c r="Z713"/>
    </row>
    <row r="714" spans="15:26" x14ac:dyDescent="0.35">
      <c r="O714" s="1" t="s">
        <v>1767</v>
      </c>
      <c r="P714" t="str">
        <f t="shared" ref="P714" si="258">CONCATENATE(P568,"*0,5")</f>
        <v>RD2*0,5</v>
      </c>
      <c r="Q714" s="3">
        <f t="shared" ref="Q714" si="259">Q568*0.5</f>
        <v>0.52500000000000002</v>
      </c>
      <c r="R714" s="1" t="s">
        <v>1767</v>
      </c>
      <c r="S714" t="str">
        <f t="shared" ref="S714" si="260">CONCATENATE(S568,"*0,5")</f>
        <v>RD2*0,5</v>
      </c>
      <c r="T714" s="3">
        <f t="shared" ref="T714" si="261">T568*0.5</f>
        <v>0.52500000000000002</v>
      </c>
      <c r="U714" s="1" t="s">
        <v>1767</v>
      </c>
      <c r="V714" t="str">
        <f t="shared" si="52"/>
        <v>ROB*0,5</v>
      </c>
      <c r="W714" s="3">
        <f t="shared" si="53"/>
        <v>0.125</v>
      </c>
      <c r="X714"/>
      <c r="Z714"/>
    </row>
    <row r="715" spans="15:26" x14ac:dyDescent="0.35">
      <c r="O715" s="1" t="s">
        <v>1767</v>
      </c>
      <c r="P715" t="str">
        <f t="shared" ref="P715" si="262">CONCATENATE(P569,"*0,5")</f>
        <v>RU2*0,5</v>
      </c>
      <c r="Q715" s="3">
        <f t="shared" ref="Q715" si="263">Q569*0.5</f>
        <v>0.57499999999999996</v>
      </c>
      <c r="R715" s="1" t="s">
        <v>1767</v>
      </c>
      <c r="S715" t="str">
        <f t="shared" ref="S715" si="264">CONCATENATE(S569,"*0,5")</f>
        <v>RU2*0,5</v>
      </c>
      <c r="T715" s="3">
        <f t="shared" ref="T715" si="265">T569*0.5</f>
        <v>0.57499999999999996</v>
      </c>
      <c r="U715" s="1" t="s">
        <v>1767</v>
      </c>
      <c r="V715" t="str">
        <f t="shared" si="52"/>
        <v>RCB*0,5</v>
      </c>
      <c r="W715" s="3">
        <f t="shared" si="53"/>
        <v>0.125</v>
      </c>
      <c r="X715"/>
      <c r="Z715"/>
    </row>
    <row r="716" spans="15:26" x14ac:dyDescent="0.35">
      <c r="O716" s="1" t="s">
        <v>1767</v>
      </c>
      <c r="P716" t="str">
        <f t="shared" ref="P716" si="266">CONCATENATE(P570,"*0,5")</f>
        <v>R3*0,5</v>
      </c>
      <c r="Q716" s="3">
        <f t="shared" ref="Q716" si="267">Q570*0.5</f>
        <v>0.3</v>
      </c>
      <c r="R716" s="1" t="s">
        <v>1767</v>
      </c>
      <c r="S716" t="str">
        <f t="shared" ref="S716" si="268">CONCATENATE(S570,"*0,5")</f>
        <v>R3*0,5</v>
      </c>
      <c r="T716" s="3">
        <f t="shared" ref="T716" si="269">T570*0.5</f>
        <v>0.3</v>
      </c>
      <c r="U716" s="1" t="s">
        <v>1767</v>
      </c>
      <c r="V716" t="str">
        <f t="shared" si="52"/>
        <v>R1*0,5</v>
      </c>
      <c r="W716" s="3">
        <f t="shared" si="53"/>
        <v>0.1</v>
      </c>
      <c r="X716"/>
      <c r="Z716"/>
    </row>
    <row r="717" spans="15:26" x14ac:dyDescent="0.35">
      <c r="O717" s="1" t="s">
        <v>1767</v>
      </c>
      <c r="P717" t="str">
        <f t="shared" ref="P717" si="270">CONCATENATE(P571,"*0,5")</f>
        <v>1R3*0,5</v>
      </c>
      <c r="Q717" s="3">
        <f t="shared" ref="Q717" si="271">Q571*0.5</f>
        <v>0.57499999999999996</v>
      </c>
      <c r="R717" s="1" t="s">
        <v>1767</v>
      </c>
      <c r="S717" t="str">
        <f t="shared" ref="S717" si="272">CONCATENATE(S571,"*0,5")</f>
        <v>1R3*0,5</v>
      </c>
      <c r="T717" s="3">
        <f t="shared" ref="T717" si="273">T571*0.5</f>
        <v>0.57499999999999996</v>
      </c>
      <c r="U717" s="1" t="s">
        <v>1767</v>
      </c>
      <c r="V717" t="str">
        <f t="shared" si="52"/>
        <v>1R1*0,5</v>
      </c>
      <c r="W717" s="3">
        <f t="shared" si="53"/>
        <v>0.17499999999999999</v>
      </c>
      <c r="X717"/>
      <c r="Z717"/>
    </row>
    <row r="718" spans="15:26" x14ac:dyDescent="0.35">
      <c r="O718" s="1" t="s">
        <v>1767</v>
      </c>
      <c r="P718" t="str">
        <f t="shared" ref="P718" si="274">CONCATENATE(P572,"*0,5")</f>
        <v>2R3*0,5</v>
      </c>
      <c r="Q718" s="3">
        <f t="shared" ref="Q718" si="275">Q572*0.5</f>
        <v>0.72499999999999998</v>
      </c>
      <c r="R718" s="1" t="s">
        <v>1767</v>
      </c>
      <c r="S718" t="str">
        <f t="shared" ref="S718" si="276">CONCATENATE(S572,"*0,5")</f>
        <v>2R3*0,5</v>
      </c>
      <c r="T718" s="3">
        <f t="shared" ref="T718" si="277">T572*0.5</f>
        <v>0.72499999999999998</v>
      </c>
      <c r="U718" s="1" t="s">
        <v>1767</v>
      </c>
      <c r="V718" t="str">
        <f t="shared" si="52"/>
        <v>2R1*0,5</v>
      </c>
      <c r="W718" s="3">
        <f t="shared" si="53"/>
        <v>0.22500000000000001</v>
      </c>
      <c r="X718"/>
      <c r="Z718"/>
    </row>
    <row r="719" spans="15:26" x14ac:dyDescent="0.35">
      <c r="O719" s="1" t="s">
        <v>1767</v>
      </c>
      <c r="P719" t="str">
        <f t="shared" ref="P719" si="278">CONCATENATE(P573,"*0,5")</f>
        <v>RU3*0,5</v>
      </c>
      <c r="Q719" s="3">
        <f t="shared" ref="Q719" si="279">Q573*0.5</f>
        <v>0.875</v>
      </c>
      <c r="R719" s="1" t="s">
        <v>1767</v>
      </c>
      <c r="S719" t="str">
        <f t="shared" ref="S719" si="280">CONCATENATE(S573,"*0,5")</f>
        <v>RU3*0,5</v>
      </c>
      <c r="T719" s="3">
        <f t="shared" ref="T719" si="281">T573*0.5</f>
        <v>0.875</v>
      </c>
      <c r="U719" s="1" t="s">
        <v>1767</v>
      </c>
      <c r="V719" t="str">
        <f t="shared" si="52"/>
        <v>RD1*0,5</v>
      </c>
      <c r="W719" s="3">
        <f t="shared" si="53"/>
        <v>0.25</v>
      </c>
      <c r="X719"/>
      <c r="Z719"/>
    </row>
    <row r="720" spans="15:26" x14ac:dyDescent="0.35">
      <c r="O720" s="1" t="s">
        <v>1767</v>
      </c>
      <c r="P720" t="str">
        <f t="shared" ref="P720" si="282">CONCATENATE(P574,"*0,5")</f>
        <v>R4*0,5</v>
      </c>
      <c r="Q720" s="3">
        <f t="shared" ref="Q720" si="283">Q574*0.5</f>
        <v>0.4</v>
      </c>
      <c r="R720" s="1" t="s">
        <v>1767</v>
      </c>
      <c r="S720" t="str">
        <f t="shared" ref="S720" si="284">CONCATENATE(S574,"*0,5")</f>
        <v>R4*0,5</v>
      </c>
      <c r="T720" s="3">
        <f t="shared" ref="T720" si="285">T574*0.5</f>
        <v>0.4</v>
      </c>
      <c r="U720" s="1" t="s">
        <v>1767</v>
      </c>
      <c r="V720" t="str">
        <f t="shared" si="52"/>
        <v>RU1*0,5</v>
      </c>
      <c r="W720" s="3">
        <f t="shared" si="53"/>
        <v>0.27500000000000002</v>
      </c>
      <c r="X720"/>
      <c r="Z720"/>
    </row>
    <row r="721" spans="15:26" x14ac:dyDescent="0.35">
      <c r="O721" s="1" t="s">
        <v>1767</v>
      </c>
      <c r="P721" t="str">
        <f t="shared" ref="P721" si="286">CONCATENATE(P575,"*0,5")</f>
        <v>1R4*0,5</v>
      </c>
      <c r="Q721" s="3">
        <f t="shared" ref="Q721" si="287">Q575*0.5</f>
        <v>0.77500000000000002</v>
      </c>
      <c r="R721" s="1" t="s">
        <v>1767</v>
      </c>
      <c r="S721" t="str">
        <f t="shared" ref="S721" si="288">CONCATENATE(S575,"*0,5")</f>
        <v>1R4*0,5</v>
      </c>
      <c r="T721" s="3">
        <f t="shared" ref="T721" si="289">T575*0.5</f>
        <v>0.77500000000000002</v>
      </c>
      <c r="U721" s="1" t="s">
        <v>1767</v>
      </c>
      <c r="V721" t="str">
        <f t="shared" si="52"/>
        <v>RO1*0,5</v>
      </c>
      <c r="W721" s="3">
        <f t="shared" si="53"/>
        <v>0.27500000000000002</v>
      </c>
      <c r="X721"/>
      <c r="Z721"/>
    </row>
    <row r="722" spans="15:26" x14ac:dyDescent="0.35">
      <c r="O722" s="1" t="s">
        <v>1767</v>
      </c>
      <c r="P722" t="str">
        <f t="shared" ref="P722" si="290">CONCATENATE(P576,"*0,5")</f>
        <v>2R4*0,5</v>
      </c>
      <c r="Q722" s="3">
        <f t="shared" ref="Q722" si="291">Q576*0.5</f>
        <v>0.97499999999999998</v>
      </c>
      <c r="R722" s="1" t="s">
        <v>1767</v>
      </c>
      <c r="S722" t="str">
        <f t="shared" ref="S722" si="292">CONCATENATE(S576,"*0,5")</f>
        <v>2R4*0,5</v>
      </c>
      <c r="T722" s="3">
        <f t="shared" ref="T722" si="293">T576*0.5</f>
        <v>0.97499999999999998</v>
      </c>
      <c r="U722" s="1" t="s">
        <v>1767</v>
      </c>
      <c r="V722" t="str">
        <f t="shared" si="52"/>
        <v>RC1*0,5</v>
      </c>
      <c r="W722" s="3">
        <f t="shared" si="53"/>
        <v>0.27500000000000002</v>
      </c>
      <c r="X722"/>
      <c r="Z722"/>
    </row>
    <row r="723" spans="15:26" x14ac:dyDescent="0.35">
      <c r="O723" s="1" t="s">
        <v>1767</v>
      </c>
      <c r="P723" t="str">
        <f t="shared" ref="P723" si="294">CONCATENATE(P577,"*0,5")</f>
        <v>RD4*0,5</v>
      </c>
      <c r="Q723" s="3">
        <f t="shared" ref="Q723" si="295">Q577*0.5</f>
        <v>1.075</v>
      </c>
      <c r="R723" s="1" t="s">
        <v>1767</v>
      </c>
      <c r="S723" t="str">
        <f t="shared" ref="S723" si="296">CONCATENATE(S577,"*0,5")</f>
        <v>RD4*0,5</v>
      </c>
      <c r="T723" s="3">
        <f t="shared" ref="T723" si="297">T577*0.5</f>
        <v>1.075</v>
      </c>
      <c r="U723" s="1" t="s">
        <v>1767</v>
      </c>
      <c r="V723" t="str">
        <f t="shared" si="52"/>
        <v>R2*0,5</v>
      </c>
      <c r="W723" s="3">
        <f t="shared" si="53"/>
        <v>0.2</v>
      </c>
      <c r="X723"/>
      <c r="Z723"/>
    </row>
    <row r="724" spans="15:26" x14ac:dyDescent="0.35">
      <c r="O724" s="1" t="s">
        <v>1767</v>
      </c>
      <c r="P724" t="str">
        <f t="shared" ref="P724" si="298">CONCATENATE(P578,"*0,5")</f>
        <v>RU4*0,5</v>
      </c>
      <c r="Q724" s="3">
        <f t="shared" ref="Q724" si="299">Q578*0.5</f>
        <v>1.175</v>
      </c>
      <c r="R724" s="1" t="s">
        <v>1767</v>
      </c>
      <c r="S724" t="str">
        <f t="shared" ref="S724" si="300">CONCATENATE(S578,"*0,5")</f>
        <v>RU4*0,5</v>
      </c>
      <c r="T724" s="3">
        <f t="shared" ref="T724" si="301">T578*0.5</f>
        <v>1.175</v>
      </c>
      <c r="U724" s="1" t="s">
        <v>1767</v>
      </c>
      <c r="V724" t="str">
        <f t="shared" si="52"/>
        <v>1R2*0,5</v>
      </c>
      <c r="W724" s="3">
        <f t="shared" si="53"/>
        <v>0.375</v>
      </c>
      <c r="X724"/>
      <c r="Z724"/>
    </row>
    <row r="725" spans="15:26" x14ac:dyDescent="0.35">
      <c r="O725" s="1" t="s">
        <v>1767</v>
      </c>
      <c r="P725" t="str">
        <f t="shared" ref="P725" si="302">CONCATENATE(P579,"*0,5")</f>
        <v>1R5*0,5</v>
      </c>
      <c r="Q725" s="3">
        <f t="shared" ref="Q725" si="303">Q579*0.5</f>
        <v>0.97499999999999998</v>
      </c>
      <c r="R725" s="1" t="s">
        <v>1767</v>
      </c>
      <c r="S725" t="str">
        <f t="shared" ref="S725" si="304">CONCATENATE(S579,"*0,5")</f>
        <v>1R5*0,5</v>
      </c>
      <c r="T725" s="3">
        <f t="shared" ref="T725" si="305">T579*0.5</f>
        <v>0.97499999999999998</v>
      </c>
      <c r="U725" s="1" t="s">
        <v>1767</v>
      </c>
      <c r="V725" t="str">
        <f t="shared" si="52"/>
        <v>2R2*0,5</v>
      </c>
      <c r="W725" s="3">
        <f t="shared" si="53"/>
        <v>0.47499999999999998</v>
      </c>
      <c r="X725"/>
      <c r="Z725"/>
    </row>
    <row r="726" spans="15:26" x14ac:dyDescent="0.35">
      <c r="O726" s="1" t="s">
        <v>1767</v>
      </c>
      <c r="P726" t="str">
        <f t="shared" ref="P726" si="306">CONCATENATE(P580,"*0,5")</f>
        <v>2R5*0,5</v>
      </c>
      <c r="Q726" s="3">
        <f t="shared" ref="Q726" si="307">Q580*0.5</f>
        <v>1.2250000000000001</v>
      </c>
      <c r="R726" s="1" t="s">
        <v>1767</v>
      </c>
      <c r="S726" t="str">
        <f t="shared" ref="S726" si="308">CONCATENATE(S580,"*0,5")</f>
        <v>2R5*0,5</v>
      </c>
      <c r="T726" s="3">
        <f t="shared" ref="T726" si="309">T580*0.5</f>
        <v>1.2250000000000001</v>
      </c>
      <c r="U726" s="1" t="s">
        <v>1767</v>
      </c>
      <c r="V726" t="str">
        <f t="shared" ref="V726:V789" si="310">CONCATENATE(V568,"*0,5")</f>
        <v>RD2*0,5</v>
      </c>
      <c r="W726" s="3">
        <f t="shared" ref="W726:W789" si="311">W568*0.5</f>
        <v>0.52500000000000002</v>
      </c>
      <c r="X726"/>
      <c r="Z726"/>
    </row>
    <row r="727" spans="15:26" x14ac:dyDescent="0.35">
      <c r="O727" s="1" t="s">
        <v>1767</v>
      </c>
      <c r="P727" t="str">
        <f t="shared" ref="P727" si="312">CONCATENATE(P581,"*0,5")</f>
        <v>RU5*0,5</v>
      </c>
      <c r="Q727" s="3">
        <f t="shared" ref="Q727" si="313">Q581*0.5</f>
        <v>1.4750000000000001</v>
      </c>
      <c r="R727" s="1" t="s">
        <v>1767</v>
      </c>
      <c r="S727" t="str">
        <f t="shared" ref="S727" si="314">CONCATENATE(S581,"*0,5")</f>
        <v>RU5*0,5</v>
      </c>
      <c r="T727" s="3">
        <f t="shared" ref="T727" si="315">T581*0.5</f>
        <v>1.4750000000000001</v>
      </c>
      <c r="U727" s="1" t="s">
        <v>1767</v>
      </c>
      <c r="V727" t="str">
        <f t="shared" si="310"/>
        <v>RU2*0,5</v>
      </c>
      <c r="W727" s="3">
        <f t="shared" si="311"/>
        <v>0.57499999999999996</v>
      </c>
      <c r="X727"/>
      <c r="Z727"/>
    </row>
    <row r="728" spans="15:26" x14ac:dyDescent="0.35">
      <c r="O728" s="1" t="s">
        <v>1767</v>
      </c>
      <c r="P728" t="str">
        <f t="shared" ref="P728" si="316">CONCATENATE(P582,"*0,5")</f>
        <v>1R6*0,5</v>
      </c>
      <c r="Q728" s="3">
        <f t="shared" ref="Q728" si="317">Q582*0.5</f>
        <v>1.175</v>
      </c>
      <c r="R728" s="1" t="s">
        <v>1767</v>
      </c>
      <c r="S728" t="str">
        <f t="shared" ref="S728" si="318">CONCATENATE(S582,"*0,5")</f>
        <v>1R6*0,5</v>
      </c>
      <c r="T728" s="3">
        <f t="shared" ref="T728" si="319">T582*0.5</f>
        <v>1.175</v>
      </c>
      <c r="U728" s="1" t="s">
        <v>1767</v>
      </c>
      <c r="V728" t="str">
        <f t="shared" si="310"/>
        <v>R3*0,5</v>
      </c>
      <c r="W728" s="3">
        <f t="shared" si="311"/>
        <v>0.3</v>
      </c>
      <c r="X728"/>
      <c r="Z728"/>
    </row>
    <row r="729" spans="15:26" x14ac:dyDescent="0.35">
      <c r="O729" s="1" t="s">
        <v>1767</v>
      </c>
      <c r="P729" t="str">
        <f t="shared" ref="P729" si="320">CONCATENATE(P583,"*0,5")</f>
        <v>2R6*0,5</v>
      </c>
      <c r="Q729" s="3">
        <f t="shared" ref="Q729" si="321">Q583*0.5</f>
        <v>1.4750000000000001</v>
      </c>
      <c r="R729" s="1" t="s">
        <v>1767</v>
      </c>
      <c r="S729" t="str">
        <f t="shared" ref="S729" si="322">CONCATENATE(S583,"*0,5")</f>
        <v>2R6*0,5</v>
      </c>
      <c r="T729" s="3">
        <f t="shared" ref="T729" si="323">T583*0.5</f>
        <v>1.4750000000000001</v>
      </c>
      <c r="U729" s="1" t="s">
        <v>1767</v>
      </c>
      <c r="V729" t="str">
        <f t="shared" si="310"/>
        <v>1R3*0,5</v>
      </c>
      <c r="W729" s="3">
        <f t="shared" si="311"/>
        <v>0.57499999999999996</v>
      </c>
      <c r="X729"/>
      <c r="Z729"/>
    </row>
    <row r="730" spans="15:26" x14ac:dyDescent="0.35">
      <c r="O730" s="1" t="s">
        <v>1767</v>
      </c>
      <c r="P730" t="str">
        <f t="shared" ref="P730" si="324">CONCATENATE(P584,"*0,5")</f>
        <v>RD6*0,5</v>
      </c>
      <c r="Q730" s="3">
        <f t="shared" ref="Q730" si="325">Q584*0.5</f>
        <v>1.675</v>
      </c>
      <c r="R730" s="1" t="s">
        <v>1767</v>
      </c>
      <c r="S730" t="str">
        <f t="shared" ref="S730" si="326">CONCATENATE(S584,"*0,5")</f>
        <v>RD6*0,5</v>
      </c>
      <c r="T730" s="3">
        <f t="shared" ref="T730" si="327">T584*0.5</f>
        <v>1.675</v>
      </c>
      <c r="U730" s="1" t="s">
        <v>1767</v>
      </c>
      <c r="V730" t="str">
        <f t="shared" si="310"/>
        <v>2R3*0,5</v>
      </c>
      <c r="W730" s="3">
        <f t="shared" si="311"/>
        <v>0.72499999999999998</v>
      </c>
      <c r="X730"/>
      <c r="Z730"/>
    </row>
    <row r="731" spans="15:26" x14ac:dyDescent="0.35">
      <c r="O731" s="1" t="s">
        <v>1767</v>
      </c>
      <c r="P731" t="str">
        <f t="shared" ref="P731" si="328">CONCATENATE(P585,"*0,5")</f>
        <v>RU6*0,5</v>
      </c>
      <c r="Q731" s="3">
        <f t="shared" ref="Q731" si="329">Q585*0.5</f>
        <v>1.7749999999999999</v>
      </c>
      <c r="R731" s="1" t="s">
        <v>1767</v>
      </c>
      <c r="S731" t="str">
        <f t="shared" ref="S731" si="330">CONCATENATE(S585,"*0,5")</f>
        <v>RU6*0,5</v>
      </c>
      <c r="T731" s="3">
        <f t="shared" ref="T731" si="331">T585*0.5</f>
        <v>1.7749999999999999</v>
      </c>
      <c r="U731" s="1" t="s">
        <v>1767</v>
      </c>
      <c r="V731" t="str">
        <f t="shared" si="310"/>
        <v>RU3*0,5</v>
      </c>
      <c r="W731" s="3">
        <f t="shared" si="311"/>
        <v>0.875</v>
      </c>
      <c r="X731"/>
      <c r="Z731"/>
    </row>
    <row r="732" spans="15:26" x14ac:dyDescent="0.35">
      <c r="O732" s="1" t="s">
        <v>1767</v>
      </c>
      <c r="P732" t="str">
        <f t="shared" ref="P732" si="332">CONCATENATE(P586,"*0,5")</f>
        <v>2R7*0,5</v>
      </c>
      <c r="Q732" s="3">
        <f t="shared" ref="Q732" si="333">Q586*0.5</f>
        <v>1.7250000000000001</v>
      </c>
      <c r="R732" s="1" t="s">
        <v>1767</v>
      </c>
      <c r="S732" t="str">
        <f t="shared" ref="S732" si="334">CONCATENATE(S586,"*0,5")</f>
        <v>2R7*0,5</v>
      </c>
      <c r="T732" s="3">
        <f t="shared" ref="T732" si="335">T586*0.5</f>
        <v>1.7250000000000001</v>
      </c>
      <c r="U732" s="1" t="s">
        <v>1767</v>
      </c>
      <c r="V732" t="str">
        <f t="shared" si="310"/>
        <v>R4*0,5</v>
      </c>
      <c r="W732" s="3">
        <f t="shared" si="311"/>
        <v>0.4</v>
      </c>
      <c r="X732"/>
      <c r="Z732"/>
    </row>
    <row r="733" spans="15:26" x14ac:dyDescent="0.35">
      <c r="O733" s="1" t="s">
        <v>1767</v>
      </c>
      <c r="P733" t="str">
        <f t="shared" ref="P733" si="336">CONCATENATE(P587,"*0,5")</f>
        <v>RU7*0,5</v>
      </c>
      <c r="Q733" s="3">
        <f t="shared" ref="Q733" si="337">Q587*0.5</f>
        <v>2.0750000000000002</v>
      </c>
      <c r="R733" s="1" t="s">
        <v>1767</v>
      </c>
      <c r="S733" t="str">
        <f t="shared" ref="S733" si="338">CONCATENATE(S587,"*0,5")</f>
        <v>RU7*0,5</v>
      </c>
      <c r="T733" s="3">
        <f t="shared" ref="T733" si="339">T587*0.5</f>
        <v>2.0750000000000002</v>
      </c>
      <c r="U733" s="1" t="s">
        <v>1767</v>
      </c>
      <c r="V733" t="str">
        <f t="shared" si="310"/>
        <v>1R4*0,5</v>
      </c>
      <c r="W733" s="3">
        <f t="shared" si="311"/>
        <v>0.77500000000000002</v>
      </c>
      <c r="X733"/>
      <c r="Z733"/>
    </row>
    <row r="734" spans="15:26" x14ac:dyDescent="0.35">
      <c r="O734" s="1" t="s">
        <v>1767</v>
      </c>
      <c r="P734" t="str">
        <f t="shared" ref="P734" si="340">CONCATENATE(P588,"*0,5")</f>
        <v>2R8*0,5</v>
      </c>
      <c r="Q734" s="3">
        <f t="shared" ref="Q734" si="341">Q588*0.5</f>
        <v>1.9750000000000001</v>
      </c>
      <c r="R734" s="1" t="s">
        <v>1767</v>
      </c>
      <c r="S734" t="str">
        <f t="shared" ref="S734" si="342">CONCATENATE(S588,"*0,5")</f>
        <v>2R8*0,5</v>
      </c>
      <c r="T734" s="3">
        <f t="shared" ref="T734" si="343">T588*0.5</f>
        <v>1.9750000000000001</v>
      </c>
      <c r="U734" s="1" t="s">
        <v>1767</v>
      </c>
      <c r="V734" t="str">
        <f t="shared" si="310"/>
        <v>2R4*0,5</v>
      </c>
      <c r="W734" s="3">
        <f t="shared" si="311"/>
        <v>0.97499999999999998</v>
      </c>
      <c r="X734"/>
      <c r="Z734"/>
    </row>
    <row r="735" spans="15:26" x14ac:dyDescent="0.35">
      <c r="O735" s="1" t="s">
        <v>1767</v>
      </c>
      <c r="P735" t="str">
        <f t="shared" ref="P735" si="344">CONCATENATE(P589,"*0,5")</f>
        <v>RU8*0,5</v>
      </c>
      <c r="Q735" s="3">
        <f t="shared" ref="Q735" si="345">Q589*0.5</f>
        <v>2.375</v>
      </c>
      <c r="R735" s="1" t="s">
        <v>1767</v>
      </c>
      <c r="S735" t="str">
        <f t="shared" ref="S735" si="346">CONCATENATE(S589,"*0,5")</f>
        <v>RU8*0,5</v>
      </c>
      <c r="T735" s="3">
        <f t="shared" ref="T735" si="347">T589*0.5</f>
        <v>2.375</v>
      </c>
      <c r="U735" s="1" t="s">
        <v>1767</v>
      </c>
      <c r="V735" t="str">
        <f t="shared" si="310"/>
        <v>RD4*0,5</v>
      </c>
      <c r="W735" s="3">
        <f t="shared" si="311"/>
        <v>1.075</v>
      </c>
      <c r="X735"/>
      <c r="Z735"/>
    </row>
    <row r="736" spans="15:26" x14ac:dyDescent="0.35">
      <c r="O736" s="1" t="s">
        <v>1767</v>
      </c>
      <c r="P736" t="str">
        <f t="shared" ref="P736" si="348">CONCATENATE(P590,"*0,5")</f>
        <v>2R9*0,5</v>
      </c>
      <c r="Q736" s="3">
        <f t="shared" ref="Q736" si="349">Q590*0.5</f>
        <v>2.2250000000000001</v>
      </c>
      <c r="R736" s="1" t="s">
        <v>1767</v>
      </c>
      <c r="S736" t="str">
        <f t="shared" ref="S736" si="350">CONCATENATE(S590,"*0,5")</f>
        <v>2R9*0,5</v>
      </c>
      <c r="T736" s="3">
        <f t="shared" ref="T736" si="351">T590*0.5</f>
        <v>2.2250000000000001</v>
      </c>
      <c r="U736" s="1" t="s">
        <v>1767</v>
      </c>
      <c r="V736" t="str">
        <f t="shared" si="310"/>
        <v>RU4*0,5</v>
      </c>
      <c r="W736" s="3">
        <f t="shared" si="311"/>
        <v>1.175</v>
      </c>
      <c r="X736"/>
      <c r="Z736"/>
    </row>
    <row r="737" spans="15:26" x14ac:dyDescent="0.35">
      <c r="O737" s="1" t="s">
        <v>1767</v>
      </c>
      <c r="P737" t="str">
        <f t="shared" ref="P737" si="352">CONCATENATE(P591,"*0,5")</f>
        <v>RU9*0,5</v>
      </c>
      <c r="Q737" s="3">
        <f t="shared" ref="Q737" si="353">Q591*0.5</f>
        <v>2.6749999999999998</v>
      </c>
      <c r="R737" s="1" t="s">
        <v>1767</v>
      </c>
      <c r="S737" t="str">
        <f t="shared" ref="S737" si="354">CONCATENATE(S591,"*0,5")</f>
        <v>RU9*0,5</v>
      </c>
      <c r="T737" s="3">
        <f t="shared" ref="T737" si="355">T591*0.5</f>
        <v>2.6749999999999998</v>
      </c>
      <c r="U737" s="1" t="s">
        <v>1767</v>
      </c>
      <c r="V737" t="str">
        <f t="shared" si="310"/>
        <v>1R5*0,5</v>
      </c>
      <c r="W737" s="3">
        <f t="shared" si="311"/>
        <v>0.97499999999999998</v>
      </c>
      <c r="X737"/>
      <c r="Z737"/>
    </row>
    <row r="738" spans="15:26" x14ac:dyDescent="0.35">
      <c r="O738" s="1" t="s">
        <v>1767</v>
      </c>
      <c r="P738" t="str">
        <f t="shared" ref="P738" si="356">CONCATENATE(P592,"*0,5")</f>
        <v>2R10*0,5</v>
      </c>
      <c r="Q738" s="3">
        <f t="shared" ref="Q738" si="357">Q592*0.5</f>
        <v>2.4750000000000001</v>
      </c>
      <c r="R738" s="1" t="s">
        <v>1767</v>
      </c>
      <c r="S738" t="str">
        <f t="shared" ref="S738" si="358">CONCATENATE(S592,"*0,5")</f>
        <v>2R10*0,5</v>
      </c>
      <c r="T738" s="3">
        <f t="shared" ref="T738" si="359">T592*0.5</f>
        <v>2.4750000000000001</v>
      </c>
      <c r="U738" s="1" t="s">
        <v>1767</v>
      </c>
      <c r="V738" t="str">
        <f t="shared" si="310"/>
        <v>2R5*0,5</v>
      </c>
      <c r="W738" s="3">
        <f t="shared" si="311"/>
        <v>1.2250000000000001</v>
      </c>
      <c r="X738"/>
      <c r="Z738"/>
    </row>
    <row r="739" spans="15:26" x14ac:dyDescent="0.35">
      <c r="O739" s="1" t="s">
        <v>1767</v>
      </c>
      <c r="P739" t="str">
        <f t="shared" ref="P739" si="360">CONCATENATE(P593,"*0,5")</f>
        <v>RU10*0,5</v>
      </c>
      <c r="Q739" s="3">
        <f t="shared" ref="Q739" si="361">Q593*0.5</f>
        <v>2.9750000000000001</v>
      </c>
      <c r="R739" s="1" t="s">
        <v>1767</v>
      </c>
      <c r="S739" t="str">
        <f t="shared" ref="S739" si="362">CONCATENATE(S593,"*0,5")</f>
        <v>RU10*0,5</v>
      </c>
      <c r="T739" s="3">
        <f t="shared" ref="T739" si="363">T593*0.5</f>
        <v>2.9750000000000001</v>
      </c>
      <c r="U739" s="1" t="s">
        <v>1767</v>
      </c>
      <c r="V739" t="str">
        <f t="shared" si="310"/>
        <v>RU5*0,5</v>
      </c>
      <c r="W739" s="3">
        <f t="shared" si="311"/>
        <v>1.4750000000000001</v>
      </c>
      <c r="X739"/>
      <c r="Z739"/>
    </row>
    <row r="740" spans="15:26" x14ac:dyDescent="0.35">
      <c r="O740" s="1" t="s">
        <v>1631</v>
      </c>
      <c r="P740" t="str">
        <f t="shared" ref="P740" si="364">CONCATENATE(P594,"*0,5")</f>
        <v>AB*0,5</v>
      </c>
      <c r="Q740" s="3">
        <f t="shared" ref="Q740" si="365">Q594*0.5</f>
        <v>2.5000000000000001E-2</v>
      </c>
      <c r="R740" s="1" t="s">
        <v>1631</v>
      </c>
      <c r="S740" t="str">
        <f t="shared" ref="S740" si="366">CONCATENATE(S594,"*0,5")</f>
        <v>AB*0,5</v>
      </c>
      <c r="T740" s="3">
        <f t="shared" ref="T740" si="367">T594*0.5</f>
        <v>2.5000000000000001E-2</v>
      </c>
      <c r="U740" s="1" t="s">
        <v>1767</v>
      </c>
      <c r="V740" t="str">
        <f t="shared" si="310"/>
        <v>1R6*0,5</v>
      </c>
      <c r="W740" s="3">
        <f t="shared" si="311"/>
        <v>1.175</v>
      </c>
      <c r="X740"/>
      <c r="Z740"/>
    </row>
    <row r="741" spans="15:26" x14ac:dyDescent="0.35">
      <c r="O741" s="1" t="s">
        <v>1631</v>
      </c>
      <c r="P741" t="str">
        <f t="shared" ref="P741" si="368">CONCATENATE(P595,"*0,5")</f>
        <v>A1a*0,5</v>
      </c>
      <c r="Q741" s="3">
        <f t="shared" ref="Q741" si="369">Q595*0.5</f>
        <v>0.05</v>
      </c>
      <c r="R741" s="1" t="s">
        <v>1631</v>
      </c>
      <c r="S741" t="str">
        <f t="shared" ref="S741" si="370">CONCATENATE(S595,"*0,5")</f>
        <v>A1a*0,5</v>
      </c>
      <c r="T741" s="3">
        <f t="shared" ref="T741" si="371">T595*0.5</f>
        <v>0.05</v>
      </c>
      <c r="U741" s="1" t="s">
        <v>1767</v>
      </c>
      <c r="V741" t="str">
        <f t="shared" si="310"/>
        <v>2R6*0,5</v>
      </c>
      <c r="W741" s="3">
        <f t="shared" si="311"/>
        <v>1.4750000000000001</v>
      </c>
      <c r="X741"/>
      <c r="Z741"/>
    </row>
    <row r="742" spans="15:26" x14ac:dyDescent="0.35">
      <c r="O742" s="1" t="s">
        <v>1631</v>
      </c>
      <c r="P742" t="str">
        <f t="shared" ref="P742" si="372">CONCATENATE(P596,"*0,5")</f>
        <v>A1b*0,5</v>
      </c>
      <c r="Q742" s="3">
        <f t="shared" ref="Q742" si="373">Q596*0.5</f>
        <v>0.05</v>
      </c>
      <c r="R742" s="1" t="s">
        <v>1631</v>
      </c>
      <c r="S742" t="str">
        <f t="shared" ref="S742" si="374">CONCATENATE(S596,"*0,5")</f>
        <v>A1b*0,5</v>
      </c>
      <c r="T742" s="3">
        <f t="shared" ref="T742" si="375">T596*0.5</f>
        <v>0.05</v>
      </c>
      <c r="U742" s="1" t="s">
        <v>1767</v>
      </c>
      <c r="V742" t="str">
        <f t="shared" si="310"/>
        <v>RD6*0,5</v>
      </c>
      <c r="W742" s="3">
        <f t="shared" si="311"/>
        <v>1.675</v>
      </c>
      <c r="X742"/>
      <c r="Z742"/>
    </row>
    <row r="743" spans="15:26" x14ac:dyDescent="0.35">
      <c r="O743" s="1" t="s">
        <v>1631</v>
      </c>
      <c r="P743" t="str">
        <f t="shared" ref="P743" si="376">CONCATENATE(P597,"*0,5")</f>
        <v>A1c*0,5</v>
      </c>
      <c r="Q743" s="3">
        <f t="shared" ref="Q743" si="377">Q597*0.5</f>
        <v>0.05</v>
      </c>
      <c r="R743" s="1" t="s">
        <v>1631</v>
      </c>
      <c r="S743" t="str">
        <f t="shared" ref="S743" si="378">CONCATENATE(S597,"*0,5")</f>
        <v>A1c*0,5</v>
      </c>
      <c r="T743" s="3">
        <f t="shared" ref="T743" si="379">T597*0.5</f>
        <v>0.05</v>
      </c>
      <c r="U743" s="1" t="s">
        <v>1767</v>
      </c>
      <c r="V743" t="str">
        <f t="shared" si="310"/>
        <v>RU6*0,5</v>
      </c>
      <c r="W743" s="3">
        <f t="shared" si="311"/>
        <v>1.7749999999999999</v>
      </c>
      <c r="X743"/>
      <c r="Z743"/>
    </row>
    <row r="744" spans="15:26" x14ac:dyDescent="0.35">
      <c r="O744" s="1" t="s">
        <v>1631</v>
      </c>
      <c r="P744" t="str">
        <f t="shared" ref="P744" si="380">CONCATENATE(P598,"*0,5")</f>
        <v>A1d*0,5</v>
      </c>
      <c r="Q744" s="3">
        <f t="shared" ref="Q744" si="381">Q598*0.5</f>
        <v>0.05</v>
      </c>
      <c r="R744" s="1" t="s">
        <v>1631</v>
      </c>
      <c r="S744" t="str">
        <f t="shared" ref="S744" si="382">CONCATENATE(S598,"*0,5")</f>
        <v>A1d*0,5</v>
      </c>
      <c r="T744" s="3">
        <f t="shared" ref="T744" si="383">T598*0.5</f>
        <v>0.05</v>
      </c>
      <c r="U744" s="1" t="s">
        <v>1767</v>
      </c>
      <c r="V744" t="str">
        <f t="shared" si="310"/>
        <v>2R7*0,5</v>
      </c>
      <c r="W744" s="3">
        <f t="shared" si="311"/>
        <v>1.7250000000000001</v>
      </c>
      <c r="X744"/>
      <c r="Z744"/>
    </row>
    <row r="745" spans="15:26" x14ac:dyDescent="0.35">
      <c r="O745" s="1" t="s">
        <v>1631</v>
      </c>
      <c r="P745" t="str">
        <f t="shared" ref="P745" si="384">CONCATENATE(P599,"*0,5")</f>
        <v>A2a*0,5</v>
      </c>
      <c r="Q745" s="3">
        <f t="shared" ref="Q745" si="385">Q599*0.5</f>
        <v>7.4999999999999997E-2</v>
      </c>
      <c r="R745" s="1" t="s">
        <v>1631</v>
      </c>
      <c r="S745" t="str">
        <f t="shared" ref="S745" si="386">CONCATENATE(S599,"*0,5")</f>
        <v>A2a*0,5</v>
      </c>
      <c r="T745" s="3">
        <f t="shared" ref="T745" si="387">T599*0.5</f>
        <v>7.4999999999999997E-2</v>
      </c>
      <c r="U745" s="1" t="s">
        <v>1767</v>
      </c>
      <c r="V745" t="str">
        <f t="shared" si="310"/>
        <v>RU7*0,5</v>
      </c>
      <c r="W745" s="3">
        <f t="shared" si="311"/>
        <v>2.0750000000000002</v>
      </c>
      <c r="X745"/>
      <c r="Z745"/>
    </row>
    <row r="746" spans="15:26" x14ac:dyDescent="0.35">
      <c r="O746" s="1" t="s">
        <v>1631</v>
      </c>
      <c r="P746" t="str">
        <f t="shared" ref="P746" si="388">CONCATENATE(P600,"*0,5")</f>
        <v>A2b*0,5</v>
      </c>
      <c r="Q746" s="3">
        <f t="shared" ref="Q746" si="389">Q600*0.5</f>
        <v>7.4999999999999997E-2</v>
      </c>
      <c r="R746" s="1" t="s">
        <v>1631</v>
      </c>
      <c r="S746" t="str">
        <f t="shared" ref="S746" si="390">CONCATENATE(S600,"*0,5")</f>
        <v>A2b*0,5</v>
      </c>
      <c r="T746" s="3">
        <f t="shared" ref="T746" si="391">T600*0.5</f>
        <v>7.4999999999999997E-2</v>
      </c>
      <c r="U746" s="1" t="s">
        <v>1767</v>
      </c>
      <c r="V746" t="str">
        <f t="shared" si="310"/>
        <v>2R8*0,5</v>
      </c>
      <c r="W746" s="3">
        <f t="shared" si="311"/>
        <v>1.9750000000000001</v>
      </c>
      <c r="X746"/>
      <c r="Z746"/>
    </row>
    <row r="747" spans="15:26" x14ac:dyDescent="0.35">
      <c r="O747" s="1" t="s">
        <v>1631</v>
      </c>
      <c r="P747" t="str">
        <f t="shared" ref="P747" si="392">CONCATENATE(P601,"*0,5")</f>
        <v>A3a*0,5</v>
      </c>
      <c r="Q747" s="3">
        <f t="shared" ref="Q747" si="393">Q601*0.5</f>
        <v>0.1</v>
      </c>
      <c r="R747" s="1" t="s">
        <v>1631</v>
      </c>
      <c r="S747" t="str">
        <f t="shared" ref="S747" si="394">CONCATENATE(S601,"*0,5")</f>
        <v>A3a*0,5</v>
      </c>
      <c r="T747" s="3">
        <f t="shared" ref="T747" si="395">T601*0.5</f>
        <v>0.1</v>
      </c>
      <c r="U747" s="1" t="s">
        <v>1767</v>
      </c>
      <c r="V747" t="str">
        <f t="shared" si="310"/>
        <v>RU8*0,5</v>
      </c>
      <c r="W747" s="3">
        <f t="shared" si="311"/>
        <v>2.375</v>
      </c>
      <c r="X747"/>
      <c r="Z747"/>
    </row>
    <row r="748" spans="15:26" x14ac:dyDescent="0.35">
      <c r="O748" s="1" t="s">
        <v>1631</v>
      </c>
      <c r="P748" t="str">
        <f t="shared" ref="P748" si="396">CONCATENATE(P602,"*0,5")</f>
        <v>A3b*0,5</v>
      </c>
      <c r="Q748" s="3">
        <f t="shared" ref="Q748" si="397">Q602*0.5</f>
        <v>0.1</v>
      </c>
      <c r="R748" s="1" t="s">
        <v>1631</v>
      </c>
      <c r="S748" t="str">
        <f t="shared" ref="S748" si="398">CONCATENATE(S602,"*0,5")</f>
        <v>A3b*0,5</v>
      </c>
      <c r="T748" s="3">
        <f t="shared" ref="T748" si="399">T602*0.5</f>
        <v>0.1</v>
      </c>
      <c r="U748" s="1" t="s">
        <v>1767</v>
      </c>
      <c r="V748" t="str">
        <f t="shared" si="310"/>
        <v>2R9*0,5</v>
      </c>
      <c r="W748" s="3">
        <f t="shared" si="311"/>
        <v>2.2250000000000001</v>
      </c>
      <c r="X748"/>
      <c r="Z748"/>
    </row>
    <row r="749" spans="15:26" x14ac:dyDescent="0.35">
      <c r="O749" s="1" t="s">
        <v>1631</v>
      </c>
      <c r="P749" t="str">
        <f t="shared" ref="P749" si="400">CONCATENATE(P603,"*0,5")</f>
        <v>A4a*0,5</v>
      </c>
      <c r="Q749" s="3">
        <f t="shared" ref="Q749" si="401">Q603*0.5</f>
        <v>0.22500000000000001</v>
      </c>
      <c r="R749" s="1" t="s">
        <v>1631</v>
      </c>
      <c r="S749" t="str">
        <f t="shared" ref="S749" si="402">CONCATENATE(S603,"*0,5")</f>
        <v>A4a*0,5</v>
      </c>
      <c r="T749" s="3">
        <f t="shared" ref="T749" si="403">T603*0.5</f>
        <v>0.22500000000000001</v>
      </c>
      <c r="U749" s="1" t="s">
        <v>1767</v>
      </c>
      <c r="V749" t="str">
        <f t="shared" si="310"/>
        <v>RU9*0,5</v>
      </c>
      <c r="W749" s="3">
        <f t="shared" si="311"/>
        <v>2.6749999999999998</v>
      </c>
      <c r="X749"/>
      <c r="Z749"/>
    </row>
    <row r="750" spans="15:26" x14ac:dyDescent="0.35">
      <c r="O750" s="1" t="s">
        <v>1631</v>
      </c>
      <c r="P750" t="str">
        <f t="shared" ref="P750" si="404">CONCATENATE(P604,"*0,5")</f>
        <v>A4b*0,5</v>
      </c>
      <c r="Q750" s="3">
        <f t="shared" ref="Q750" si="405">Q604*0.5</f>
        <v>0.22500000000000001</v>
      </c>
      <c r="R750" s="1" t="s">
        <v>1631</v>
      </c>
      <c r="S750" t="str">
        <f t="shared" ref="S750" si="406">CONCATENATE(S604,"*0,5")</f>
        <v>A4b*0,5</v>
      </c>
      <c r="T750" s="3">
        <f t="shared" ref="T750" si="407">T604*0.5</f>
        <v>0.22500000000000001</v>
      </c>
      <c r="U750" s="1" t="s">
        <v>1767</v>
      </c>
      <c r="V750" t="str">
        <f t="shared" si="310"/>
        <v>2R10*0,5</v>
      </c>
      <c r="W750" s="3">
        <f t="shared" si="311"/>
        <v>2.4750000000000001</v>
      </c>
      <c r="X750"/>
      <c r="Z750"/>
    </row>
    <row r="751" spans="15:26" x14ac:dyDescent="0.35">
      <c r="O751" s="1" t="s">
        <v>1631</v>
      </c>
      <c r="P751" t="str">
        <f t="shared" ref="P751" si="408">CONCATENATE(P605,"*0,5")</f>
        <v>A5*0,5</v>
      </c>
      <c r="Q751" s="3">
        <f t="shared" ref="Q751" si="409">Q605*0.5</f>
        <v>0.32500000000000001</v>
      </c>
      <c r="R751" s="1" t="s">
        <v>1631</v>
      </c>
      <c r="S751" t="str">
        <f t="shared" ref="S751" si="410">CONCATENATE(S605,"*0,5")</f>
        <v>A5*0,5</v>
      </c>
      <c r="T751" s="3">
        <f t="shared" ref="T751" si="411">T605*0.5</f>
        <v>0.32500000000000001</v>
      </c>
      <c r="U751" s="1" t="s">
        <v>1767</v>
      </c>
      <c r="V751" t="str">
        <f t="shared" si="310"/>
        <v>RU10*0,5</v>
      </c>
      <c r="W751" s="3">
        <f t="shared" si="311"/>
        <v>2.9750000000000001</v>
      </c>
      <c r="X751"/>
      <c r="Z751"/>
    </row>
    <row r="752" spans="15:26" x14ac:dyDescent="0.35">
      <c r="O752" s="1" t="s">
        <v>1631</v>
      </c>
      <c r="P752" t="str">
        <f t="shared" ref="P752" si="412">CONCATENATE(P606,"*0,5")</f>
        <v>A6*0,5</v>
      </c>
      <c r="Q752" s="3">
        <f t="shared" ref="Q752" si="413">Q606*0.5</f>
        <v>0.57499999999999996</v>
      </c>
      <c r="R752" s="1" t="s">
        <v>1631</v>
      </c>
      <c r="S752" t="str">
        <f t="shared" ref="S752" si="414">CONCATENATE(S606,"*0,5")</f>
        <v>A6*0,5</v>
      </c>
      <c r="T752" s="3">
        <f t="shared" ref="T752" si="415">T606*0.5</f>
        <v>0.57499999999999996</v>
      </c>
      <c r="U752" s="1" t="s">
        <v>1631</v>
      </c>
      <c r="V752" t="str">
        <f t="shared" si="310"/>
        <v>AB*0,5</v>
      </c>
      <c r="W752" s="3">
        <f t="shared" si="311"/>
        <v>2.5000000000000001E-2</v>
      </c>
      <c r="X752"/>
      <c r="Z752"/>
    </row>
    <row r="753" spans="15:26" x14ac:dyDescent="0.35">
      <c r="O753" s="1" t="s">
        <v>1631</v>
      </c>
      <c r="P753" t="str">
        <f t="shared" ref="P753" si="416">CONCATENATE(P607,"*0,5")</f>
        <v>A7*0,5</v>
      </c>
      <c r="Q753" s="3">
        <f t="shared" ref="Q753" si="417">Q607*0.5</f>
        <v>0.72499999999999998</v>
      </c>
      <c r="R753" s="1" t="s">
        <v>1631</v>
      </c>
      <c r="S753" t="str">
        <f t="shared" ref="S753" si="418">CONCATENATE(S607,"*0,5")</f>
        <v>A7*0,5</v>
      </c>
      <c r="T753" s="3">
        <f t="shared" ref="T753" si="419">T607*0.5</f>
        <v>0.72499999999999998</v>
      </c>
      <c r="U753" s="1" t="s">
        <v>1631</v>
      </c>
      <c r="V753" t="str">
        <f t="shared" si="310"/>
        <v>A1a*0,5</v>
      </c>
      <c r="W753" s="3">
        <f t="shared" si="311"/>
        <v>0.05</v>
      </c>
      <c r="X753"/>
      <c r="Z753"/>
    </row>
    <row r="754" spans="15:26" x14ac:dyDescent="0.35">
      <c r="O754" s="1" t="s">
        <v>1631</v>
      </c>
      <c r="P754" t="str">
        <f t="shared" ref="P754" si="420">CONCATENATE(P608,"*0,5")</f>
        <v>A8*0,5</v>
      </c>
      <c r="Q754" s="3">
        <f t="shared" ref="Q754" si="421">Q608*0.5</f>
        <v>0.82499999999999996</v>
      </c>
      <c r="R754" s="1" t="s">
        <v>1631</v>
      </c>
      <c r="S754" t="str">
        <f t="shared" ref="S754" si="422">CONCATENATE(S608,"*0,5")</f>
        <v>A8*0,5</v>
      </c>
      <c r="T754" s="3">
        <f t="shared" ref="T754" si="423">T608*0.5</f>
        <v>0.82499999999999996</v>
      </c>
      <c r="U754" s="1" t="s">
        <v>1631</v>
      </c>
      <c r="V754" t="str">
        <f t="shared" si="310"/>
        <v>A1b*0,5</v>
      </c>
      <c r="W754" s="3">
        <f t="shared" si="311"/>
        <v>0.05</v>
      </c>
      <c r="X754"/>
      <c r="Z754"/>
    </row>
    <row r="755" spans="15:26" x14ac:dyDescent="0.35">
      <c r="O755" s="1" t="s">
        <v>624</v>
      </c>
      <c r="P755" t="str">
        <f t="shared" ref="P755" si="424">CONCATENATE(P609,"*0,5")</f>
        <v>FB*0,5</v>
      </c>
      <c r="Q755" s="3">
        <f t="shared" ref="Q755" si="425">Q609*0.5</f>
        <v>2.5000000000000001E-2</v>
      </c>
      <c r="R755" s="1" t="s">
        <v>624</v>
      </c>
      <c r="S755" t="str">
        <f t="shared" ref="S755" si="426">CONCATENATE(S609,"*0,5")</f>
        <v>FB*0,5</v>
      </c>
      <c r="T755" s="3">
        <f t="shared" ref="T755" si="427">T609*0.5</f>
        <v>2.5000000000000001E-2</v>
      </c>
      <c r="U755" s="1" t="s">
        <v>1631</v>
      </c>
      <c r="V755" t="str">
        <f t="shared" si="310"/>
        <v>A1c*0,5</v>
      </c>
      <c r="W755" s="3">
        <f t="shared" si="311"/>
        <v>0.05</v>
      </c>
      <c r="X755"/>
      <c r="Z755"/>
    </row>
    <row r="756" spans="15:26" x14ac:dyDescent="0.35">
      <c r="O756" s="1" t="s">
        <v>624</v>
      </c>
      <c r="P756" t="str">
        <f t="shared" ref="P756" si="428">CONCATENATE(P610,"*0,5")</f>
        <v>F1a*0,5</v>
      </c>
      <c r="Q756" s="3">
        <f t="shared" ref="Q756" si="429">Q610*0.5</f>
        <v>0.05</v>
      </c>
      <c r="R756" s="1" t="s">
        <v>624</v>
      </c>
      <c r="S756" t="str">
        <f t="shared" ref="S756" si="430">CONCATENATE(S610,"*0,5")</f>
        <v>F1a*0,5</v>
      </c>
      <c r="T756" s="3">
        <f t="shared" ref="T756" si="431">T610*0.5</f>
        <v>0.05</v>
      </c>
      <c r="U756" s="1" t="s">
        <v>1631</v>
      </c>
      <c r="V756" t="str">
        <f t="shared" si="310"/>
        <v>A1d*0,5</v>
      </c>
      <c r="W756" s="3">
        <f t="shared" si="311"/>
        <v>0.05</v>
      </c>
      <c r="X756"/>
      <c r="Z756"/>
    </row>
    <row r="757" spans="15:26" x14ac:dyDescent="0.35">
      <c r="O757" s="1" t="s">
        <v>624</v>
      </c>
      <c r="P757" t="str">
        <f t="shared" ref="P757" si="432">CONCATENATE(P611,"*0,5")</f>
        <v>F1b*0,5</v>
      </c>
      <c r="Q757" s="3">
        <f t="shared" ref="Q757" si="433">Q611*0.5</f>
        <v>0.05</v>
      </c>
      <c r="R757" s="1" t="s">
        <v>624</v>
      </c>
      <c r="S757" t="str">
        <f t="shared" ref="S757" si="434">CONCATENATE(S611,"*0,5")</f>
        <v>F1b*0,5</v>
      </c>
      <c r="T757" s="3">
        <f t="shared" ref="T757" si="435">T611*0.5</f>
        <v>0.05</v>
      </c>
      <c r="U757" s="1" t="s">
        <v>1631</v>
      </c>
      <c r="V757" t="str">
        <f t="shared" si="310"/>
        <v>A2a*0,5</v>
      </c>
      <c r="W757" s="3">
        <f t="shared" si="311"/>
        <v>7.4999999999999997E-2</v>
      </c>
      <c r="X757"/>
      <c r="Z757"/>
    </row>
    <row r="758" spans="15:26" x14ac:dyDescent="0.35">
      <c r="O758" s="1" t="s">
        <v>624</v>
      </c>
      <c r="P758" t="str">
        <f t="shared" ref="P758" si="436">CONCATENATE(P612,"*0,5")</f>
        <v>F1c*0,5</v>
      </c>
      <c r="Q758" s="3">
        <f t="shared" ref="Q758" si="437">Q612*0.5</f>
        <v>0.05</v>
      </c>
      <c r="R758" s="1" t="s">
        <v>624</v>
      </c>
      <c r="S758" t="str">
        <f t="shared" ref="S758" si="438">CONCATENATE(S612,"*0,5")</f>
        <v>F1c*0,5</v>
      </c>
      <c r="T758" s="3">
        <f t="shared" ref="T758" si="439">T612*0.5</f>
        <v>0.05</v>
      </c>
      <c r="U758" s="1" t="s">
        <v>1631</v>
      </c>
      <c r="V758" t="str">
        <f t="shared" si="310"/>
        <v>A2b*0,5</v>
      </c>
      <c r="W758" s="3">
        <f t="shared" si="311"/>
        <v>7.4999999999999997E-2</v>
      </c>
      <c r="X758"/>
      <c r="Z758"/>
    </row>
    <row r="759" spans="15:26" x14ac:dyDescent="0.35">
      <c r="O759" s="1" t="s">
        <v>624</v>
      </c>
      <c r="P759" t="str">
        <f t="shared" ref="P759" si="440">CONCATENATE(P613,"*0,5")</f>
        <v>F2a*0,5</v>
      </c>
      <c r="Q759" s="3">
        <f t="shared" ref="Q759" si="441">Q613*0.5</f>
        <v>0.1</v>
      </c>
      <c r="R759" s="1" t="s">
        <v>624</v>
      </c>
      <c r="S759" t="str">
        <f t="shared" ref="S759" si="442">CONCATENATE(S613,"*0,5")</f>
        <v>F2a*0,5</v>
      </c>
      <c r="T759" s="3">
        <f t="shared" ref="T759" si="443">T613*0.5</f>
        <v>0.1</v>
      </c>
      <c r="U759" s="1" t="s">
        <v>1631</v>
      </c>
      <c r="V759" t="str">
        <f t="shared" si="310"/>
        <v>A3a*0,5</v>
      </c>
      <c r="W759" s="3">
        <f t="shared" si="311"/>
        <v>0.1</v>
      </c>
      <c r="X759"/>
      <c r="Z759"/>
    </row>
    <row r="760" spans="15:26" x14ac:dyDescent="0.35">
      <c r="O760" s="1" t="s">
        <v>624</v>
      </c>
      <c r="P760" t="str">
        <f t="shared" ref="P760" si="444">CONCATENATE(P614,"*0,5")</f>
        <v>F2b*0,5</v>
      </c>
      <c r="Q760" s="3">
        <f t="shared" ref="Q760" si="445">Q614*0.5</f>
        <v>0.1</v>
      </c>
      <c r="R760" s="1" t="s">
        <v>624</v>
      </c>
      <c r="S760" t="str">
        <f t="shared" ref="S760" si="446">CONCATENATE(S614,"*0,5")</f>
        <v>F2b*0,5</v>
      </c>
      <c r="T760" s="3">
        <f t="shared" ref="T760" si="447">T614*0.5</f>
        <v>0.1</v>
      </c>
      <c r="U760" s="1" t="s">
        <v>1631</v>
      </c>
      <c r="V760" t="str">
        <f t="shared" si="310"/>
        <v>A3b*0,5</v>
      </c>
      <c r="W760" s="3">
        <f t="shared" si="311"/>
        <v>0.1</v>
      </c>
      <c r="X760"/>
      <c r="Z760"/>
    </row>
    <row r="761" spans="15:26" x14ac:dyDescent="0.35">
      <c r="O761" s="1" t="s">
        <v>624</v>
      </c>
      <c r="P761" t="str">
        <f t="shared" ref="P761" si="448">CONCATENATE(P615,"*0,5")</f>
        <v>F2c*0,5</v>
      </c>
      <c r="Q761" s="3">
        <f t="shared" ref="Q761" si="449">Q615*0.5</f>
        <v>0.1</v>
      </c>
      <c r="R761" s="1" t="s">
        <v>624</v>
      </c>
      <c r="S761" t="str">
        <f t="shared" ref="S761" si="450">CONCATENATE(S615,"*0,5")</f>
        <v>F2c*0,5</v>
      </c>
      <c r="T761" s="3">
        <f t="shared" ref="T761" si="451">T615*0.5</f>
        <v>0.1</v>
      </c>
      <c r="U761" s="1" t="s">
        <v>1631</v>
      </c>
      <c r="V761" t="str">
        <f t="shared" si="310"/>
        <v>A4a*0,5</v>
      </c>
      <c r="W761" s="3">
        <f t="shared" si="311"/>
        <v>0.22500000000000001</v>
      </c>
      <c r="X761"/>
      <c r="Z761"/>
    </row>
    <row r="762" spans="15:26" x14ac:dyDescent="0.35">
      <c r="O762" s="1" t="s">
        <v>624</v>
      </c>
      <c r="P762" t="str">
        <f t="shared" ref="P762" si="452">CONCATENATE(P616,"*0,5")</f>
        <v>F3a*0,5</v>
      </c>
      <c r="Q762" s="3">
        <f t="shared" ref="Q762" si="453">Q616*0.5</f>
        <v>0.15</v>
      </c>
      <c r="R762" s="1" t="s">
        <v>624</v>
      </c>
      <c r="S762" t="str">
        <f t="shared" ref="S762" si="454">CONCATENATE(S616,"*0,5")</f>
        <v>F3a*0,5</v>
      </c>
      <c r="T762" s="3">
        <f t="shared" ref="T762" si="455">T616*0.5</f>
        <v>0.15</v>
      </c>
      <c r="U762" s="1" t="s">
        <v>1631</v>
      </c>
      <c r="V762" t="str">
        <f t="shared" si="310"/>
        <v>A4b*0,5</v>
      </c>
      <c r="W762" s="3">
        <f t="shared" si="311"/>
        <v>0.22500000000000001</v>
      </c>
      <c r="X762"/>
      <c r="Z762"/>
    </row>
    <row r="763" spans="15:26" x14ac:dyDescent="0.35">
      <c r="O763" s="1" t="s">
        <v>624</v>
      </c>
      <c r="P763" t="str">
        <f t="shared" ref="P763" si="456">CONCATENATE(P617,"*0,5")</f>
        <v>F3b*0,5</v>
      </c>
      <c r="Q763" s="3">
        <f t="shared" ref="Q763" si="457">Q617*0.5</f>
        <v>0.15</v>
      </c>
      <c r="R763" s="1" t="s">
        <v>624</v>
      </c>
      <c r="S763" t="str">
        <f t="shared" ref="S763" si="458">CONCATENATE(S617,"*0,5")</f>
        <v>F3b*0,5</v>
      </c>
      <c r="T763" s="3">
        <f t="shared" ref="T763" si="459">T617*0.5</f>
        <v>0.15</v>
      </c>
      <c r="U763" s="1" t="s">
        <v>1631</v>
      </c>
      <c r="V763" t="str">
        <f t="shared" si="310"/>
        <v>A5*0,5</v>
      </c>
      <c r="W763" s="3">
        <f t="shared" si="311"/>
        <v>0.32500000000000001</v>
      </c>
      <c r="X763"/>
      <c r="Z763"/>
    </row>
    <row r="764" spans="15:26" x14ac:dyDescent="0.35">
      <c r="O764" s="1" t="s">
        <v>624</v>
      </c>
      <c r="P764" t="str">
        <f t="shared" ref="P764" si="460">CONCATENATE(P618,"*0,5")</f>
        <v>F3c*0,5</v>
      </c>
      <c r="Q764" s="3">
        <f t="shared" ref="Q764" si="461">Q618*0.5</f>
        <v>0.15</v>
      </c>
      <c r="R764" s="1" t="s">
        <v>624</v>
      </c>
      <c r="S764" t="str">
        <f t="shared" ref="S764" si="462">CONCATENATE(S618,"*0,5")</f>
        <v>F3c*0,5</v>
      </c>
      <c r="T764" s="3">
        <f t="shared" ref="T764" si="463">T618*0.5</f>
        <v>0.15</v>
      </c>
      <c r="U764" s="1" t="s">
        <v>1631</v>
      </c>
      <c r="V764" t="str">
        <f t="shared" si="310"/>
        <v>A6*0,5</v>
      </c>
      <c r="W764" s="3">
        <f t="shared" si="311"/>
        <v>0.57499999999999996</v>
      </c>
      <c r="X764"/>
      <c r="Z764"/>
    </row>
    <row r="765" spans="15:26" x14ac:dyDescent="0.35">
      <c r="O765" s="1" t="s">
        <v>624</v>
      </c>
      <c r="P765" t="str">
        <f t="shared" ref="P765" si="464">CONCATENATE(P619,"*0,5")</f>
        <v>F4a*0,5</v>
      </c>
      <c r="Q765" s="3">
        <f t="shared" ref="Q765" si="465">Q619*0.5</f>
        <v>0.2</v>
      </c>
      <c r="R765" s="1" t="s">
        <v>624</v>
      </c>
      <c r="S765" t="str">
        <f t="shared" ref="S765" si="466">CONCATENATE(S619,"*0,5")</f>
        <v>F4a*0,5</v>
      </c>
      <c r="T765" s="3">
        <f t="shared" ref="T765" si="467">T619*0.5</f>
        <v>0.2</v>
      </c>
      <c r="U765" s="1" t="s">
        <v>1631</v>
      </c>
      <c r="V765" t="str">
        <f t="shared" si="310"/>
        <v>A7*0,5</v>
      </c>
      <c r="W765" s="3">
        <f t="shared" si="311"/>
        <v>0.72499999999999998</v>
      </c>
      <c r="X765"/>
      <c r="Z765"/>
    </row>
    <row r="766" spans="15:26" x14ac:dyDescent="0.35">
      <c r="O766" s="1" t="s">
        <v>624</v>
      </c>
      <c r="P766" t="str">
        <f t="shared" ref="P766" si="468">CONCATENATE(P620,"*0,5")</f>
        <v>F4b*0,5</v>
      </c>
      <c r="Q766" s="3">
        <f t="shared" ref="Q766" si="469">Q620*0.5</f>
        <v>0.2</v>
      </c>
      <c r="R766" s="1" t="s">
        <v>624</v>
      </c>
      <c r="S766" t="str">
        <f t="shared" ref="S766" si="470">CONCATENATE(S620,"*0,5")</f>
        <v>F4b*0,5</v>
      </c>
      <c r="T766" s="3">
        <f t="shared" ref="T766" si="471">T620*0.5</f>
        <v>0.2</v>
      </c>
      <c r="U766" s="1" t="s">
        <v>1631</v>
      </c>
      <c r="V766" t="str">
        <f t="shared" si="310"/>
        <v>A8*0,5</v>
      </c>
      <c r="W766" s="3">
        <f t="shared" si="311"/>
        <v>0.82499999999999996</v>
      </c>
      <c r="X766"/>
      <c r="Z766"/>
    </row>
    <row r="767" spans="15:26" x14ac:dyDescent="0.35">
      <c r="O767" s="1" t="s">
        <v>624</v>
      </c>
      <c r="P767" t="str">
        <f t="shared" ref="P767" si="472">CONCATENATE(P621,"*0,5")</f>
        <v>F4c*0,5</v>
      </c>
      <c r="Q767" s="3">
        <f t="shared" ref="Q767" si="473">Q621*0.5</f>
        <v>0.2</v>
      </c>
      <c r="R767" s="1" t="s">
        <v>624</v>
      </c>
      <c r="S767" t="str">
        <f t="shared" ref="S767" si="474">CONCATENATE(S621,"*0,5")</f>
        <v>F4c*0,5</v>
      </c>
      <c r="T767" s="3">
        <f t="shared" ref="T767" si="475">T621*0.5</f>
        <v>0.2</v>
      </c>
      <c r="U767" s="1" t="s">
        <v>624</v>
      </c>
      <c r="V767" t="str">
        <f t="shared" si="310"/>
        <v>FB*0,5</v>
      </c>
      <c r="W767" s="3">
        <f t="shared" si="311"/>
        <v>2.5000000000000001E-2</v>
      </c>
      <c r="X767"/>
      <c r="Z767"/>
    </row>
    <row r="768" spans="15:26" x14ac:dyDescent="0.35">
      <c r="O768" s="1" t="s">
        <v>624</v>
      </c>
      <c r="P768" t="str">
        <f t="shared" ref="P768" si="476">CONCATENATE(P622,"*0,5")</f>
        <v>F4d*0,5</v>
      </c>
      <c r="Q768" s="3">
        <f t="shared" ref="Q768" si="477">Q622*0.5</f>
        <v>0.2</v>
      </c>
      <c r="R768" s="1" t="s">
        <v>624</v>
      </c>
      <c r="S768" t="str">
        <f t="shared" ref="S768" si="478">CONCATENATE(S622,"*0,5")</f>
        <v>F4d*0,5</v>
      </c>
      <c r="T768" s="3">
        <f t="shared" ref="T768" si="479">T622*0.5</f>
        <v>0.2</v>
      </c>
      <c r="U768" s="1" t="s">
        <v>624</v>
      </c>
      <c r="V768" t="str">
        <f t="shared" si="310"/>
        <v>F1a*0,5</v>
      </c>
      <c r="W768" s="3">
        <f t="shared" si="311"/>
        <v>0.05</v>
      </c>
      <c r="X768"/>
      <c r="Z768"/>
    </row>
    <row r="769" spans="15:26" x14ac:dyDescent="0.35">
      <c r="O769" s="1" t="s">
        <v>624</v>
      </c>
      <c r="P769" t="str">
        <f t="shared" ref="P769" si="480">CONCATENATE(P623,"*0,5")</f>
        <v>F4e*0,5</v>
      </c>
      <c r="Q769" s="3">
        <f t="shared" ref="Q769" si="481">Q623*0.5</f>
        <v>0.2</v>
      </c>
      <c r="R769" s="1" t="s">
        <v>624</v>
      </c>
      <c r="S769" t="str">
        <f t="shared" ref="S769" si="482">CONCATENATE(S623,"*0,5")</f>
        <v>F4e*0,5</v>
      </c>
      <c r="T769" s="3">
        <f t="shared" ref="T769" si="483">T623*0.5</f>
        <v>0.2</v>
      </c>
      <c r="U769" s="1" t="s">
        <v>624</v>
      </c>
      <c r="V769" t="str">
        <f t="shared" si="310"/>
        <v>F1b*0,5</v>
      </c>
      <c r="W769" s="3">
        <f t="shared" si="311"/>
        <v>0.05</v>
      </c>
      <c r="X769"/>
      <c r="Z769"/>
    </row>
    <row r="770" spans="15:26" x14ac:dyDescent="0.35">
      <c r="O770" s="1" t="s">
        <v>624</v>
      </c>
      <c r="P770" t="str">
        <f t="shared" ref="P770" si="484">CONCATENATE(P624,"*0,5")</f>
        <v>F4f*0,5</v>
      </c>
      <c r="Q770" s="3">
        <f t="shared" ref="Q770" si="485">Q624*0.5</f>
        <v>0.2</v>
      </c>
      <c r="R770" s="1" t="s">
        <v>624</v>
      </c>
      <c r="S770" t="str">
        <f t="shared" ref="S770" si="486">CONCATENATE(S624,"*0,5")</f>
        <v>F4f*0,5</v>
      </c>
      <c r="T770" s="3">
        <f t="shared" ref="T770" si="487">T624*0.5</f>
        <v>0.2</v>
      </c>
      <c r="U770" s="1" t="s">
        <v>624</v>
      </c>
      <c r="V770" t="str">
        <f t="shared" si="310"/>
        <v>F1c*0,5</v>
      </c>
      <c r="W770" s="3">
        <f t="shared" si="311"/>
        <v>0.05</v>
      </c>
      <c r="X770"/>
      <c r="Z770"/>
    </row>
    <row r="771" spans="15:26" x14ac:dyDescent="0.35">
      <c r="O771" s="1" t="s">
        <v>624</v>
      </c>
      <c r="P771" t="str">
        <f t="shared" ref="P771" si="488">CONCATENATE(P625,"*0,5")</f>
        <v>F5a*0,5</v>
      </c>
      <c r="Q771" s="3">
        <f t="shared" ref="Q771" si="489">Q625*0.5</f>
        <v>0.25</v>
      </c>
      <c r="R771" s="1" t="s">
        <v>624</v>
      </c>
      <c r="S771" t="str">
        <f t="shared" ref="S771" si="490">CONCATENATE(S625,"*0,5")</f>
        <v>F5a*0,5</v>
      </c>
      <c r="T771" s="3">
        <f t="shared" ref="T771" si="491">T625*0.5</f>
        <v>0.25</v>
      </c>
      <c r="U771" s="1" t="s">
        <v>624</v>
      </c>
      <c r="V771" t="str">
        <f t="shared" si="310"/>
        <v>F2a*0,5</v>
      </c>
      <c r="W771" s="3">
        <f t="shared" si="311"/>
        <v>0.1</v>
      </c>
      <c r="X771"/>
      <c r="Z771"/>
    </row>
    <row r="772" spans="15:26" x14ac:dyDescent="0.35">
      <c r="O772" s="1" t="s">
        <v>624</v>
      </c>
      <c r="P772" t="str">
        <f t="shared" ref="P772" si="492">CONCATENATE(P626,"*0,5")</f>
        <v>F5b*0,5</v>
      </c>
      <c r="Q772" s="3">
        <f t="shared" ref="Q772" si="493">Q626*0.5</f>
        <v>0.25</v>
      </c>
      <c r="R772" s="1" t="s">
        <v>624</v>
      </c>
      <c r="S772" t="str">
        <f t="shared" ref="S772" si="494">CONCATENATE(S626,"*0,5")</f>
        <v>F5b*0,5</v>
      </c>
      <c r="T772" s="3">
        <f t="shared" ref="T772" si="495">T626*0.5</f>
        <v>0.25</v>
      </c>
      <c r="U772" s="1" t="s">
        <v>624</v>
      </c>
      <c r="V772" t="str">
        <f t="shared" si="310"/>
        <v>F2b*0,5</v>
      </c>
      <c r="W772" s="3">
        <f t="shared" si="311"/>
        <v>0.1</v>
      </c>
      <c r="X772"/>
      <c r="Z772"/>
    </row>
    <row r="773" spans="15:26" x14ac:dyDescent="0.35">
      <c r="O773" s="1" t="s">
        <v>624</v>
      </c>
      <c r="P773" t="str">
        <f t="shared" ref="P773" si="496">CONCATENATE(P627,"*0,5")</f>
        <v>F5c*0,5</v>
      </c>
      <c r="Q773" s="3">
        <f t="shared" ref="Q773" si="497">Q627*0.5</f>
        <v>0.25</v>
      </c>
      <c r="R773" s="1" t="s">
        <v>624</v>
      </c>
      <c r="S773" t="str">
        <f t="shared" ref="S773" si="498">CONCATENATE(S627,"*0,5")</f>
        <v>F5c*0,5</v>
      </c>
      <c r="T773" s="3">
        <f t="shared" ref="T773" si="499">T627*0.5</f>
        <v>0.25</v>
      </c>
      <c r="U773" s="1" t="s">
        <v>624</v>
      </c>
      <c r="V773" t="str">
        <f t="shared" si="310"/>
        <v>F2c*0,5</v>
      </c>
      <c r="W773" s="3">
        <f t="shared" si="311"/>
        <v>0.1</v>
      </c>
      <c r="X773"/>
      <c r="Z773"/>
    </row>
    <row r="774" spans="15:26" x14ac:dyDescent="0.35">
      <c r="O774" s="1" t="s">
        <v>624</v>
      </c>
      <c r="P774" t="str">
        <f t="shared" ref="P774" si="500">CONCATENATE(P628,"*0,5")</f>
        <v>F6a*0,5</v>
      </c>
      <c r="Q774" s="3">
        <f t="shared" ref="Q774" si="501">Q628*0.5</f>
        <v>0.32500000000000001</v>
      </c>
      <c r="R774" s="1" t="s">
        <v>624</v>
      </c>
      <c r="S774" t="str">
        <f t="shared" ref="S774" si="502">CONCATENATE(S628,"*0,5")</f>
        <v>F6a*0,5</v>
      </c>
      <c r="T774" s="3">
        <f t="shared" ref="T774" si="503">T628*0.5</f>
        <v>0.32500000000000001</v>
      </c>
      <c r="U774" s="1" t="s">
        <v>624</v>
      </c>
      <c r="V774" t="str">
        <f t="shared" si="310"/>
        <v>F3a*0,5</v>
      </c>
      <c r="W774" s="3">
        <f t="shared" si="311"/>
        <v>0.15</v>
      </c>
      <c r="X774"/>
      <c r="Z774"/>
    </row>
    <row r="775" spans="15:26" x14ac:dyDescent="0.35">
      <c r="O775" s="1" t="s">
        <v>624</v>
      </c>
      <c r="P775" t="str">
        <f t="shared" ref="P775" si="504">CONCATENATE(P629,"*0,5")</f>
        <v>F6b*0,5</v>
      </c>
      <c r="Q775" s="3">
        <f t="shared" ref="Q775" si="505">Q629*0.5</f>
        <v>0.32500000000000001</v>
      </c>
      <c r="R775" s="1" t="s">
        <v>624</v>
      </c>
      <c r="S775" t="str">
        <f t="shared" ref="S775" si="506">CONCATENATE(S629,"*0,5")</f>
        <v>F6b*0,5</v>
      </c>
      <c r="T775" s="3">
        <f t="shared" ref="T775" si="507">T629*0.5</f>
        <v>0.32500000000000001</v>
      </c>
      <c r="U775" s="1" t="s">
        <v>624</v>
      </c>
      <c r="V775" t="str">
        <f t="shared" si="310"/>
        <v>F3b*0,5</v>
      </c>
      <c r="W775" s="3">
        <f t="shared" si="311"/>
        <v>0.15</v>
      </c>
      <c r="X775"/>
      <c r="Z775"/>
    </row>
    <row r="776" spans="15:26" x14ac:dyDescent="0.35">
      <c r="O776" s="1" t="s">
        <v>624</v>
      </c>
      <c r="P776" t="str">
        <f t="shared" ref="P776" si="508">CONCATENATE(P630,"*0,5")</f>
        <v>F6c*0,5</v>
      </c>
      <c r="Q776" s="3">
        <f t="shared" ref="Q776" si="509">Q630*0.5</f>
        <v>0.32500000000000001</v>
      </c>
      <c r="R776" s="1" t="s">
        <v>624</v>
      </c>
      <c r="S776" t="str">
        <f t="shared" ref="S776" si="510">CONCATENATE(S630,"*0,5")</f>
        <v>F6c*0,5</v>
      </c>
      <c r="T776" s="3">
        <f t="shared" ref="T776" si="511">T630*0.5</f>
        <v>0.32500000000000001</v>
      </c>
      <c r="U776" s="1" t="s">
        <v>624</v>
      </c>
      <c r="V776" t="str">
        <f t="shared" si="310"/>
        <v>F3c*0,5</v>
      </c>
      <c r="W776" s="3">
        <f t="shared" si="311"/>
        <v>0.15</v>
      </c>
      <c r="X776"/>
      <c r="Z776"/>
    </row>
    <row r="777" spans="15:26" x14ac:dyDescent="0.35">
      <c r="O777" s="1" t="s">
        <v>624</v>
      </c>
      <c r="P777" t="str">
        <f t="shared" ref="P777" si="512">CONCATENATE(P631,"*0,5")</f>
        <v>F6d*0,5</v>
      </c>
      <c r="Q777" s="3">
        <f t="shared" ref="Q777" si="513">Q631*0.5</f>
        <v>0.32500000000000001</v>
      </c>
      <c r="R777" s="1" t="s">
        <v>624</v>
      </c>
      <c r="S777" t="str">
        <f t="shared" ref="S777" si="514">CONCATENATE(S631,"*0,5")</f>
        <v>F6d*0,5</v>
      </c>
      <c r="T777" s="3">
        <f t="shared" ref="T777" si="515">T631*0.5</f>
        <v>0.32500000000000001</v>
      </c>
      <c r="U777" s="1" t="s">
        <v>624</v>
      </c>
      <c r="V777" t="str">
        <f t="shared" si="310"/>
        <v>F4a*0,5</v>
      </c>
      <c r="W777" s="3">
        <f t="shared" si="311"/>
        <v>0.2</v>
      </c>
      <c r="X777"/>
      <c r="Z777"/>
    </row>
    <row r="778" spans="15:26" x14ac:dyDescent="0.35">
      <c r="O778" s="1" t="s">
        <v>624</v>
      </c>
      <c r="P778" t="str">
        <f t="shared" ref="P778" si="516">CONCATENATE(P632,"*0,5")</f>
        <v>F7*0,5</v>
      </c>
      <c r="Q778" s="3">
        <f t="shared" ref="Q778" si="517">Q632*0.5</f>
        <v>0.375</v>
      </c>
      <c r="R778" s="1" t="s">
        <v>624</v>
      </c>
      <c r="S778" t="str">
        <f t="shared" ref="S778" si="518">CONCATENATE(S632,"*0,5")</f>
        <v>F7*0,5</v>
      </c>
      <c r="T778" s="3">
        <f t="shared" ref="T778" si="519">T632*0.5</f>
        <v>0.375</v>
      </c>
      <c r="U778" s="1" t="s">
        <v>624</v>
      </c>
      <c r="V778" t="str">
        <f t="shared" si="310"/>
        <v>F4b*0,5</v>
      </c>
      <c r="W778" s="3">
        <f t="shared" si="311"/>
        <v>0.2</v>
      </c>
      <c r="X778"/>
      <c r="Z778"/>
    </row>
    <row r="779" spans="15:26" x14ac:dyDescent="0.35">
      <c r="O779" s="1" t="s">
        <v>624</v>
      </c>
      <c r="P779" t="str">
        <f t="shared" ref="P779" si="520">CONCATENATE(P633,"*0,5")</f>
        <v>F8a*0,5</v>
      </c>
      <c r="Q779" s="3">
        <f t="shared" ref="Q779" si="521">Q633*0.5</f>
        <v>0.45</v>
      </c>
      <c r="R779" s="1" t="s">
        <v>624</v>
      </c>
      <c r="S779" t="str">
        <f t="shared" ref="S779" si="522">CONCATENATE(S633,"*0,5")</f>
        <v>F8a*0,5</v>
      </c>
      <c r="T779" s="3">
        <f t="shared" ref="T779" si="523">T633*0.5</f>
        <v>0.45</v>
      </c>
      <c r="U779" s="1" t="s">
        <v>624</v>
      </c>
      <c r="V779" t="str">
        <f t="shared" si="310"/>
        <v>F4c*0,5</v>
      </c>
      <c r="W779" s="3">
        <f t="shared" si="311"/>
        <v>0.2</v>
      </c>
      <c r="X779"/>
      <c r="Z779"/>
    </row>
    <row r="780" spans="15:26" x14ac:dyDescent="0.35">
      <c r="O780" s="1" t="s">
        <v>624</v>
      </c>
      <c r="P780" t="str">
        <f t="shared" ref="P780" si="524">CONCATENATE(P634,"*0,5")</f>
        <v>F8b*0,5</v>
      </c>
      <c r="Q780" s="3">
        <f t="shared" ref="Q780" si="525">Q634*0.5</f>
        <v>0.45</v>
      </c>
      <c r="R780" s="1" t="s">
        <v>624</v>
      </c>
      <c r="S780" t="str">
        <f t="shared" ref="S780" si="526">CONCATENATE(S634,"*0,5")</f>
        <v>F8b*0,5</v>
      </c>
      <c r="T780" s="3">
        <f t="shared" ref="T780" si="527">T634*0.5</f>
        <v>0.45</v>
      </c>
      <c r="U780" s="1" t="s">
        <v>624</v>
      </c>
      <c r="V780" t="str">
        <f t="shared" si="310"/>
        <v>F4d*0,5</v>
      </c>
      <c r="W780" s="3">
        <f t="shared" si="311"/>
        <v>0.2</v>
      </c>
      <c r="X780"/>
      <c r="Z780"/>
    </row>
    <row r="781" spans="15:26" x14ac:dyDescent="0.35">
      <c r="O781" s="1" t="s">
        <v>624</v>
      </c>
      <c r="P781" t="str">
        <f t="shared" ref="P781" si="528">CONCATENATE(P635,"*0,5")</f>
        <v>F9*0,5</v>
      </c>
      <c r="Q781" s="3">
        <f t="shared" ref="Q781" si="529">Q635*0.5</f>
        <v>0.5</v>
      </c>
      <c r="R781" s="1" t="s">
        <v>624</v>
      </c>
      <c r="S781" t="str">
        <f t="shared" ref="S781" si="530">CONCATENATE(S635,"*0,5")</f>
        <v>F9*0,5</v>
      </c>
      <c r="T781" s="3">
        <f t="shared" ref="T781" si="531">T635*0.5</f>
        <v>0.5</v>
      </c>
      <c r="U781" s="1" t="s">
        <v>624</v>
      </c>
      <c r="V781" t="str">
        <f t="shared" si="310"/>
        <v>F4e*0,5</v>
      </c>
      <c r="W781" s="3">
        <f t="shared" si="311"/>
        <v>0.2</v>
      </c>
      <c r="X781"/>
      <c r="Z781"/>
    </row>
    <row r="782" spans="15:26" x14ac:dyDescent="0.35">
      <c r="O782" s="1" t="s">
        <v>624</v>
      </c>
      <c r="P782" t="str">
        <f t="shared" ref="P782" si="532">CONCATENATE(P636,"*0,5")</f>
        <v>F10*0,5</v>
      </c>
      <c r="Q782" s="3">
        <f t="shared" ref="Q782" si="533">Q636*0.5</f>
        <v>0.65</v>
      </c>
      <c r="R782" s="1" t="s">
        <v>624</v>
      </c>
      <c r="S782" t="str">
        <f t="shared" ref="S782" si="534">CONCATENATE(S636,"*0,5")</f>
        <v>F10*0,5</v>
      </c>
      <c r="T782" s="3">
        <f t="shared" ref="T782" si="535">T636*0.5</f>
        <v>0.65</v>
      </c>
      <c r="U782" s="1" t="s">
        <v>624</v>
      </c>
      <c r="V782" t="str">
        <f t="shared" si="310"/>
        <v>F4f*0,5</v>
      </c>
      <c r="W782" s="3">
        <f t="shared" si="311"/>
        <v>0.2</v>
      </c>
      <c r="X782"/>
      <c r="Z782"/>
    </row>
    <row r="783" spans="15:26" x14ac:dyDescent="0.35">
      <c r="O783" s="1"/>
      <c r="R783" s="1"/>
      <c r="U783" s="1" t="s">
        <v>624</v>
      </c>
      <c r="V783" t="str">
        <f t="shared" si="310"/>
        <v>F5a*0,5</v>
      </c>
      <c r="W783" s="3">
        <f t="shared" si="311"/>
        <v>0.25</v>
      </c>
      <c r="X783"/>
      <c r="Z783"/>
    </row>
    <row r="784" spans="15:26" x14ac:dyDescent="0.35">
      <c r="O784" s="1"/>
      <c r="R784" s="1"/>
      <c r="U784" s="1" t="s">
        <v>624</v>
      </c>
      <c r="V784" t="str">
        <f t="shared" si="310"/>
        <v>F5b*0,5</v>
      </c>
      <c r="W784" s="3">
        <f t="shared" si="311"/>
        <v>0.25</v>
      </c>
      <c r="X784"/>
      <c r="Z784"/>
    </row>
    <row r="785" spans="15:26" x14ac:dyDescent="0.35">
      <c r="O785" s="1"/>
      <c r="R785" s="1"/>
      <c r="U785" s="1" t="s">
        <v>624</v>
      </c>
      <c r="V785" t="str">
        <f t="shared" si="310"/>
        <v>F5c*0,5</v>
      </c>
      <c r="W785" s="3">
        <f t="shared" si="311"/>
        <v>0.25</v>
      </c>
      <c r="X785"/>
      <c r="Z785"/>
    </row>
    <row r="786" spans="15:26" x14ac:dyDescent="0.35">
      <c r="O786" s="1"/>
      <c r="R786" s="1"/>
      <c r="U786" s="1" t="s">
        <v>624</v>
      </c>
      <c r="V786" t="str">
        <f t="shared" si="310"/>
        <v>F6a*0,5</v>
      </c>
      <c r="W786" s="3">
        <f t="shared" si="311"/>
        <v>0.32500000000000001</v>
      </c>
      <c r="X786"/>
      <c r="Z786"/>
    </row>
    <row r="787" spans="15:26" x14ac:dyDescent="0.35">
      <c r="O787" s="1"/>
      <c r="R787" s="1"/>
      <c r="U787" s="1" t="s">
        <v>624</v>
      </c>
      <c r="V787" t="str">
        <f t="shared" si="310"/>
        <v>F6b*0,5</v>
      </c>
      <c r="W787" s="3">
        <f t="shared" si="311"/>
        <v>0.32500000000000001</v>
      </c>
      <c r="X787"/>
      <c r="Z787"/>
    </row>
    <row r="788" spans="15:26" x14ac:dyDescent="0.35">
      <c r="O788" s="1"/>
      <c r="R788" s="1"/>
      <c r="U788" s="1" t="s">
        <v>624</v>
      </c>
      <c r="V788" t="str">
        <f t="shared" si="310"/>
        <v>F6c*0,5</v>
      </c>
      <c r="W788" s="3">
        <f t="shared" si="311"/>
        <v>0.32500000000000001</v>
      </c>
      <c r="X788"/>
      <c r="Z788"/>
    </row>
    <row r="789" spans="15:26" x14ac:dyDescent="0.35">
      <c r="O789" s="1"/>
      <c r="R789" s="1"/>
      <c r="U789" s="1" t="s">
        <v>624</v>
      </c>
      <c r="V789" t="str">
        <f t="shared" si="310"/>
        <v>F6d*0,5</v>
      </c>
      <c r="W789" s="3">
        <f t="shared" si="311"/>
        <v>0.32500000000000001</v>
      </c>
      <c r="X789"/>
      <c r="Z789"/>
    </row>
    <row r="790" spans="15:26" x14ac:dyDescent="0.35">
      <c r="O790" s="1"/>
      <c r="R790" s="1"/>
      <c r="U790" s="1" t="s">
        <v>624</v>
      </c>
      <c r="V790" t="str">
        <f t="shared" ref="V790:V794" si="536">CONCATENATE(V632,"*0,5")</f>
        <v>F7*0,5</v>
      </c>
      <c r="W790" s="3">
        <f t="shared" ref="W790:W794" si="537">W632*0.5</f>
        <v>0.375</v>
      </c>
      <c r="X790"/>
      <c r="Z790"/>
    </row>
    <row r="791" spans="15:26" x14ac:dyDescent="0.35">
      <c r="O791" s="1"/>
      <c r="R791" s="1"/>
      <c r="U791" s="1" t="s">
        <v>624</v>
      </c>
      <c r="V791" t="str">
        <f t="shared" si="536"/>
        <v>F8a*0,5</v>
      </c>
      <c r="W791" s="3">
        <f t="shared" si="537"/>
        <v>0.45</v>
      </c>
      <c r="X791"/>
      <c r="Z791"/>
    </row>
    <row r="792" spans="15:26" x14ac:dyDescent="0.35">
      <c r="O792" s="1"/>
      <c r="R792" s="1"/>
      <c r="U792" s="1" t="s">
        <v>624</v>
      </c>
      <c r="V792" t="str">
        <f t="shared" si="536"/>
        <v>F8b*0,5</v>
      </c>
      <c r="W792" s="3">
        <f t="shared" si="537"/>
        <v>0.45</v>
      </c>
      <c r="X792"/>
      <c r="Z792"/>
    </row>
    <row r="793" spans="15:26" x14ac:dyDescent="0.35">
      <c r="O793" s="1"/>
      <c r="R793" s="1"/>
      <c r="U793" s="1" t="s">
        <v>624</v>
      </c>
      <c r="V793" t="str">
        <f t="shared" si="536"/>
        <v>F9*0,5</v>
      </c>
      <c r="W793" s="3">
        <f t="shared" si="537"/>
        <v>0.5</v>
      </c>
      <c r="X793"/>
      <c r="Z793"/>
    </row>
    <row r="794" spans="15:26" x14ac:dyDescent="0.35">
      <c r="O794" s="1"/>
      <c r="R794" s="1"/>
      <c r="U794" s="1" t="s">
        <v>624</v>
      </c>
      <c r="V794" t="str">
        <f t="shared" si="536"/>
        <v>F10*0,5</v>
      </c>
      <c r="W794" s="3">
        <f t="shared" si="537"/>
        <v>0.65</v>
      </c>
      <c r="X794"/>
      <c r="Z794"/>
    </row>
    <row r="795" spans="15:26" x14ac:dyDescent="0.35">
      <c r="U795" s="1" t="s">
        <v>625</v>
      </c>
      <c r="V795" t="s">
        <v>1996</v>
      </c>
      <c r="W795" s="3">
        <v>0.05</v>
      </c>
      <c r="X795"/>
      <c r="Z795"/>
    </row>
    <row r="796" spans="15:26" x14ac:dyDescent="0.35">
      <c r="U796" s="1" t="s">
        <v>625</v>
      </c>
      <c r="V796" t="s">
        <v>2271</v>
      </c>
      <c r="W796" s="3">
        <v>0.1</v>
      </c>
      <c r="X796"/>
      <c r="Z796"/>
    </row>
    <row r="797" spans="15:26" x14ac:dyDescent="0.35">
      <c r="U797" s="1" t="s">
        <v>625</v>
      </c>
      <c r="V797" t="s">
        <v>1997</v>
      </c>
      <c r="W797" s="3">
        <v>0.1</v>
      </c>
      <c r="X797"/>
      <c r="Z797"/>
    </row>
    <row r="798" spans="15:26" x14ac:dyDescent="0.35">
      <c r="U798" s="1" t="s">
        <v>625</v>
      </c>
      <c r="V798" t="s">
        <v>2272</v>
      </c>
      <c r="W798" s="3">
        <v>0.15</v>
      </c>
      <c r="X798"/>
      <c r="Z798"/>
    </row>
    <row r="799" spans="15:26" x14ac:dyDescent="0.35">
      <c r="U799" s="1" t="s">
        <v>625</v>
      </c>
      <c r="V799" t="s">
        <v>1998</v>
      </c>
      <c r="W799" s="3">
        <v>0.1</v>
      </c>
      <c r="X799"/>
      <c r="Z799"/>
    </row>
    <row r="800" spans="15:26" x14ac:dyDescent="0.35">
      <c r="U800" s="1" t="s">
        <v>625</v>
      </c>
      <c r="V800" t="s">
        <v>2273</v>
      </c>
      <c r="W800" s="3">
        <v>0.15</v>
      </c>
      <c r="X800"/>
      <c r="Z800"/>
    </row>
    <row r="801" spans="21:26" x14ac:dyDescent="0.35">
      <c r="U801" s="1" t="s">
        <v>625</v>
      </c>
      <c r="V801" t="s">
        <v>1999</v>
      </c>
      <c r="W801" s="3">
        <v>0.15</v>
      </c>
      <c r="X801"/>
      <c r="Z801"/>
    </row>
    <row r="802" spans="21:26" x14ac:dyDescent="0.35">
      <c r="U802" s="1" t="s">
        <v>625</v>
      </c>
      <c r="V802" t="s">
        <v>2274</v>
      </c>
      <c r="W802" s="3">
        <v>0.2</v>
      </c>
      <c r="X802"/>
      <c r="Z802"/>
    </row>
    <row r="803" spans="21:26" x14ac:dyDescent="0.35">
      <c r="U803" s="1" t="s">
        <v>625</v>
      </c>
      <c r="V803" t="s">
        <v>2000</v>
      </c>
      <c r="W803" s="3">
        <v>0.15</v>
      </c>
      <c r="X803"/>
      <c r="Z803"/>
    </row>
    <row r="804" spans="21:26" x14ac:dyDescent="0.35">
      <c r="U804" s="1" t="s">
        <v>625</v>
      </c>
      <c r="V804" t="s">
        <v>2275</v>
      </c>
      <c r="W804" s="3">
        <v>0.2</v>
      </c>
      <c r="X804"/>
      <c r="Z804"/>
    </row>
    <row r="805" spans="21:26" x14ac:dyDescent="0.35">
      <c r="U805" s="1" t="s">
        <v>625</v>
      </c>
      <c r="V805" t="s">
        <v>2001</v>
      </c>
      <c r="W805" s="3">
        <v>0.15</v>
      </c>
      <c r="X805"/>
      <c r="Z805"/>
    </row>
    <row r="806" spans="21:26" x14ac:dyDescent="0.35">
      <c r="U806" s="1" t="s">
        <v>625</v>
      </c>
      <c r="V806" t="s">
        <v>2276</v>
      </c>
      <c r="W806" s="3">
        <v>0.2</v>
      </c>
      <c r="X806"/>
      <c r="Z806"/>
    </row>
    <row r="807" spans="21:26" x14ac:dyDescent="0.35">
      <c r="U807" s="1" t="s">
        <v>625</v>
      </c>
      <c r="V807" t="s">
        <v>2002</v>
      </c>
      <c r="W807" s="3">
        <v>0.2</v>
      </c>
      <c r="X807"/>
      <c r="Z807"/>
    </row>
    <row r="808" spans="21:26" x14ac:dyDescent="0.35">
      <c r="U808" s="1" t="s">
        <v>625</v>
      </c>
      <c r="V808" t="s">
        <v>2277</v>
      </c>
      <c r="W808" s="3">
        <v>0.25</v>
      </c>
      <c r="X808"/>
      <c r="Z808"/>
    </row>
    <row r="809" spans="21:26" x14ac:dyDescent="0.35">
      <c r="U809" s="1" t="s">
        <v>625</v>
      </c>
      <c r="V809" t="s">
        <v>2003</v>
      </c>
      <c r="W809" s="3">
        <v>0.25</v>
      </c>
      <c r="X809"/>
      <c r="Z809"/>
    </row>
    <row r="810" spans="21:26" x14ac:dyDescent="0.35">
      <c r="U810" s="1" t="s">
        <v>625</v>
      </c>
      <c r="V810" t="s">
        <v>2278</v>
      </c>
      <c r="W810" s="3">
        <v>0.3</v>
      </c>
      <c r="X810"/>
      <c r="Z810"/>
    </row>
    <row r="811" spans="21:26" x14ac:dyDescent="0.35">
      <c r="U811" s="1" t="s">
        <v>625</v>
      </c>
      <c r="V811" t="s">
        <v>2004</v>
      </c>
      <c r="W811" s="3">
        <v>0.5</v>
      </c>
      <c r="X811"/>
      <c r="Z811"/>
    </row>
    <row r="812" spans="21:26" x14ac:dyDescent="0.35">
      <c r="U812" s="1" t="s">
        <v>625</v>
      </c>
      <c r="V812" t="s">
        <v>2279</v>
      </c>
      <c r="W812" s="3">
        <v>0.55000000000000004</v>
      </c>
      <c r="X812"/>
      <c r="Z812"/>
    </row>
    <row r="813" spans="21:26" x14ac:dyDescent="0.35">
      <c r="U813" s="1" t="s">
        <v>625</v>
      </c>
      <c r="V813" t="s">
        <v>2005</v>
      </c>
      <c r="W813" s="3">
        <v>0.625</v>
      </c>
      <c r="X813"/>
      <c r="Z813"/>
    </row>
    <row r="814" spans="21:26" x14ac:dyDescent="0.35">
      <c r="U814" s="1" t="s">
        <v>625</v>
      </c>
      <c r="V814" t="s">
        <v>2280</v>
      </c>
      <c r="W814" s="3">
        <v>0.67500000000000004</v>
      </c>
      <c r="X814"/>
      <c r="Z814"/>
    </row>
    <row r="815" spans="21:26" x14ac:dyDescent="0.35">
      <c r="U815" s="1" t="s">
        <v>625</v>
      </c>
      <c r="V815" t="s">
        <v>2006</v>
      </c>
      <c r="W815" s="3">
        <v>0.625</v>
      </c>
      <c r="X815"/>
      <c r="Z815"/>
    </row>
    <row r="816" spans="21:26" x14ac:dyDescent="0.35">
      <c r="U816" s="1" t="s">
        <v>625</v>
      </c>
      <c r="V816" t="s">
        <v>2281</v>
      </c>
      <c r="W816" s="3">
        <v>0.67500000000000004</v>
      </c>
      <c r="X816"/>
      <c r="Z816"/>
    </row>
    <row r="817" spans="21:26" x14ac:dyDescent="0.35">
      <c r="U817" s="1" t="s">
        <v>625</v>
      </c>
      <c r="V817" t="s">
        <v>2007</v>
      </c>
      <c r="W817" s="3">
        <v>0.75</v>
      </c>
      <c r="X817"/>
      <c r="Z817"/>
    </row>
    <row r="818" spans="21:26" x14ac:dyDescent="0.35">
      <c r="U818" s="1" t="s">
        <v>625</v>
      </c>
      <c r="V818" t="s">
        <v>2282</v>
      </c>
      <c r="W818" s="3">
        <v>0.8</v>
      </c>
      <c r="X818"/>
      <c r="Z818"/>
    </row>
    <row r="819" spans="21:26" x14ac:dyDescent="0.35">
      <c r="U819" s="1" t="s">
        <v>1765</v>
      </c>
      <c r="V819" t="s">
        <v>2017</v>
      </c>
      <c r="W819" s="3">
        <v>0.09</v>
      </c>
      <c r="X819"/>
      <c r="Z819"/>
    </row>
    <row r="820" spans="21:26" x14ac:dyDescent="0.35">
      <c r="U820" s="1" t="s">
        <v>1765</v>
      </c>
      <c r="V820" t="s">
        <v>2018</v>
      </c>
      <c r="W820" s="3">
        <v>0.13500000000000001</v>
      </c>
      <c r="X820"/>
      <c r="Z820"/>
    </row>
    <row r="821" spans="21:26" x14ac:dyDescent="0.35">
      <c r="U821" s="1" t="s">
        <v>1765</v>
      </c>
      <c r="V821" t="s">
        <v>2019</v>
      </c>
      <c r="W821" s="3">
        <v>0.15</v>
      </c>
      <c r="X821"/>
      <c r="Z821"/>
    </row>
    <row r="822" spans="21:26" x14ac:dyDescent="0.35">
      <c r="U822" s="1" t="s">
        <v>1765</v>
      </c>
      <c r="V822" t="s">
        <v>2020</v>
      </c>
      <c r="W822" s="3">
        <v>0.15</v>
      </c>
      <c r="X822"/>
      <c r="Z822"/>
    </row>
    <row r="823" spans="21:26" x14ac:dyDescent="0.35">
      <c r="U823" s="1" t="s">
        <v>1765</v>
      </c>
      <c r="V823" t="s">
        <v>2021</v>
      </c>
      <c r="W823" s="3">
        <v>0.19500000000000001</v>
      </c>
      <c r="X823"/>
      <c r="Z823"/>
    </row>
    <row r="824" spans="21:26" x14ac:dyDescent="0.35">
      <c r="U824" s="1" t="s">
        <v>1765</v>
      </c>
      <c r="V824" t="s">
        <v>2022</v>
      </c>
      <c r="W824" s="3">
        <v>0.19500000000000001</v>
      </c>
      <c r="X824"/>
      <c r="Z824"/>
    </row>
    <row r="825" spans="21:26" x14ac:dyDescent="0.35">
      <c r="U825" s="1" t="s">
        <v>1765</v>
      </c>
      <c r="V825" t="s">
        <v>2023</v>
      </c>
      <c r="W825" s="3">
        <v>0.19500000000000001</v>
      </c>
      <c r="X825"/>
      <c r="Z825"/>
    </row>
    <row r="826" spans="21:26" x14ac:dyDescent="0.35">
      <c r="U826" s="1" t="s">
        <v>1765</v>
      </c>
      <c r="V826" t="s">
        <v>2024</v>
      </c>
      <c r="W826" s="3">
        <v>0.19500000000000001</v>
      </c>
      <c r="X826"/>
      <c r="Z826"/>
    </row>
    <row r="827" spans="21:26" x14ac:dyDescent="0.35">
      <c r="U827" s="1" t="s">
        <v>1765</v>
      </c>
      <c r="V827" t="s">
        <v>2025</v>
      </c>
      <c r="W827" s="3">
        <v>0.24</v>
      </c>
      <c r="X827"/>
      <c r="Z827"/>
    </row>
    <row r="828" spans="21:26" x14ac:dyDescent="0.35">
      <c r="U828" s="1" t="s">
        <v>1765</v>
      </c>
      <c r="V828" t="s">
        <v>2026</v>
      </c>
      <c r="W828" s="3">
        <v>0.24</v>
      </c>
      <c r="X828"/>
      <c r="Z828"/>
    </row>
    <row r="829" spans="21:26" x14ac:dyDescent="0.35">
      <c r="U829" s="1" t="s">
        <v>1765</v>
      </c>
      <c r="V829" t="s">
        <v>2027</v>
      </c>
      <c r="W829" s="3">
        <v>0.24</v>
      </c>
      <c r="X829"/>
      <c r="Z829"/>
    </row>
    <row r="830" spans="21:26" x14ac:dyDescent="0.35">
      <c r="U830" s="1" t="s">
        <v>1765</v>
      </c>
      <c r="V830" t="s">
        <v>2028</v>
      </c>
      <c r="W830" s="3">
        <v>0.24</v>
      </c>
      <c r="X830"/>
      <c r="Z830"/>
    </row>
    <row r="831" spans="21:26" x14ac:dyDescent="0.35">
      <c r="U831" s="1" t="s">
        <v>1765</v>
      </c>
      <c r="V831" t="s">
        <v>2029</v>
      </c>
      <c r="W831" s="3">
        <v>0.24</v>
      </c>
      <c r="X831"/>
      <c r="Z831"/>
    </row>
    <row r="832" spans="21:26" x14ac:dyDescent="0.35">
      <c r="U832" s="1" t="s">
        <v>1765</v>
      </c>
      <c r="V832" t="s">
        <v>2030</v>
      </c>
      <c r="W832" s="3">
        <v>0.27</v>
      </c>
      <c r="X832"/>
      <c r="Z832"/>
    </row>
    <row r="833" spans="21:26" x14ac:dyDescent="0.35">
      <c r="U833" s="1" t="s">
        <v>1765</v>
      </c>
      <c r="V833" t="s">
        <v>2031</v>
      </c>
      <c r="W833" s="3">
        <v>0.27</v>
      </c>
      <c r="X833"/>
      <c r="Z833"/>
    </row>
    <row r="834" spans="21:26" x14ac:dyDescent="0.35">
      <c r="U834" s="1" t="s">
        <v>1765</v>
      </c>
      <c r="V834" t="s">
        <v>2032</v>
      </c>
      <c r="W834" s="3">
        <v>0.27</v>
      </c>
      <c r="X834"/>
      <c r="Z834"/>
    </row>
    <row r="835" spans="21:26" x14ac:dyDescent="0.35">
      <c r="U835" s="1" t="s">
        <v>1765</v>
      </c>
      <c r="V835" t="s">
        <v>2033</v>
      </c>
      <c r="W835" s="3">
        <v>0.27</v>
      </c>
      <c r="X835"/>
      <c r="Z835"/>
    </row>
    <row r="836" spans="21:26" x14ac:dyDescent="0.35">
      <c r="U836" s="1" t="s">
        <v>1765</v>
      </c>
      <c r="V836" t="s">
        <v>2034</v>
      </c>
      <c r="W836" s="3">
        <v>0.27</v>
      </c>
      <c r="X836"/>
      <c r="Z836"/>
    </row>
    <row r="837" spans="21:26" x14ac:dyDescent="0.35">
      <c r="U837" s="1" t="s">
        <v>1765</v>
      </c>
      <c r="V837" t="s">
        <v>2035</v>
      </c>
      <c r="W837" s="3">
        <v>0.33</v>
      </c>
      <c r="X837"/>
      <c r="Z837"/>
    </row>
    <row r="838" spans="21:26" x14ac:dyDescent="0.35">
      <c r="U838" s="1" t="s">
        <v>1765</v>
      </c>
      <c r="V838" t="s">
        <v>2036</v>
      </c>
      <c r="W838" s="3">
        <v>0.33</v>
      </c>
      <c r="X838"/>
      <c r="Z838"/>
    </row>
    <row r="839" spans="21:26" x14ac:dyDescent="0.35">
      <c r="U839" s="1" t="s">
        <v>1765</v>
      </c>
      <c r="V839" t="s">
        <v>2037</v>
      </c>
      <c r="W839" s="3">
        <v>0.33</v>
      </c>
      <c r="X839"/>
      <c r="Z839"/>
    </row>
    <row r="840" spans="21:26" x14ac:dyDescent="0.35">
      <c r="U840" s="1" t="s">
        <v>1765</v>
      </c>
      <c r="V840" t="s">
        <v>2038</v>
      </c>
      <c r="W840" s="3">
        <v>0.44999999999999996</v>
      </c>
      <c r="X840"/>
      <c r="Z840"/>
    </row>
    <row r="841" spans="21:26" x14ac:dyDescent="0.35">
      <c r="U841" s="1" t="s">
        <v>1765</v>
      </c>
      <c r="V841" t="s">
        <v>2039</v>
      </c>
      <c r="W841" s="3">
        <v>0.51</v>
      </c>
      <c r="X841"/>
      <c r="Z841"/>
    </row>
    <row r="842" spans="21:26" x14ac:dyDescent="0.35">
      <c r="U842" s="1" t="s">
        <v>1765</v>
      </c>
      <c r="V842" t="s">
        <v>2040</v>
      </c>
      <c r="W842" s="3">
        <v>0.6</v>
      </c>
      <c r="X842"/>
      <c r="Z842"/>
    </row>
    <row r="843" spans="21:26" x14ac:dyDescent="0.35">
      <c r="U843" s="1" t="s">
        <v>1765</v>
      </c>
      <c r="V843" t="s">
        <v>2041</v>
      </c>
      <c r="W843" s="3">
        <v>0.6</v>
      </c>
      <c r="X843"/>
      <c r="Z843"/>
    </row>
    <row r="844" spans="21:26" x14ac:dyDescent="0.35">
      <c r="U844" s="1" t="s">
        <v>1766</v>
      </c>
      <c r="V844" t="s">
        <v>2042</v>
      </c>
      <c r="W844" s="3">
        <v>4.4999999999999998E-2</v>
      </c>
      <c r="X844"/>
      <c r="Z844"/>
    </row>
    <row r="845" spans="21:26" x14ac:dyDescent="0.35">
      <c r="U845" s="1" t="s">
        <v>1766</v>
      </c>
      <c r="V845" t="s">
        <v>2043</v>
      </c>
      <c r="W845" s="3">
        <v>0.105</v>
      </c>
      <c r="X845"/>
      <c r="Z845"/>
    </row>
    <row r="846" spans="21:26" x14ac:dyDescent="0.35">
      <c r="U846" s="1" t="s">
        <v>1766</v>
      </c>
      <c r="V846" t="s">
        <v>2044</v>
      </c>
      <c r="W846" s="3">
        <v>0.12</v>
      </c>
      <c r="X846"/>
      <c r="Z846"/>
    </row>
    <row r="847" spans="21:26" x14ac:dyDescent="0.35">
      <c r="U847" s="1" t="s">
        <v>1766</v>
      </c>
      <c r="V847" t="s">
        <v>2045</v>
      </c>
      <c r="W847" s="3">
        <v>0.105</v>
      </c>
      <c r="X847"/>
      <c r="Z847"/>
    </row>
    <row r="848" spans="21:26" x14ac:dyDescent="0.35">
      <c r="U848" s="1" t="s">
        <v>1766</v>
      </c>
      <c r="V848" t="s">
        <v>2046</v>
      </c>
      <c r="W848" s="3">
        <v>0.24</v>
      </c>
      <c r="X848"/>
      <c r="Z848"/>
    </row>
    <row r="849" spans="21:26" x14ac:dyDescent="0.35">
      <c r="U849" s="1" t="s">
        <v>1766</v>
      </c>
      <c r="V849" t="s">
        <v>2047</v>
      </c>
      <c r="W849" s="3">
        <v>0.255</v>
      </c>
      <c r="X849"/>
      <c r="Z849"/>
    </row>
    <row r="850" spans="21:26" x14ac:dyDescent="0.35">
      <c r="U850" s="1" t="s">
        <v>1766</v>
      </c>
      <c r="V850" t="s">
        <v>2048</v>
      </c>
      <c r="W850" s="3">
        <v>0.22499999999999998</v>
      </c>
      <c r="X850"/>
      <c r="Z850"/>
    </row>
    <row r="851" spans="21:26" x14ac:dyDescent="0.35">
      <c r="U851" s="1" t="s">
        <v>1766</v>
      </c>
      <c r="V851" t="s">
        <v>2049</v>
      </c>
      <c r="W851" s="3">
        <v>0.48</v>
      </c>
      <c r="X851"/>
      <c r="Z851"/>
    </row>
    <row r="852" spans="21:26" x14ac:dyDescent="0.35">
      <c r="U852" s="1" t="s">
        <v>1766</v>
      </c>
      <c r="V852" t="s">
        <v>2050</v>
      </c>
      <c r="W852" s="3">
        <v>0.49499999999999994</v>
      </c>
      <c r="X852"/>
      <c r="Z852"/>
    </row>
    <row r="853" spans="21:26" x14ac:dyDescent="0.35">
      <c r="U853" s="1" t="s">
        <v>1766</v>
      </c>
      <c r="V853" t="s">
        <v>2051</v>
      </c>
      <c r="W853" s="3">
        <v>0.34499999999999997</v>
      </c>
      <c r="X853"/>
      <c r="Z853"/>
    </row>
    <row r="854" spans="21:26" x14ac:dyDescent="0.35">
      <c r="U854" s="1" t="s">
        <v>1766</v>
      </c>
      <c r="V854" t="s">
        <v>2052</v>
      </c>
      <c r="W854" s="3">
        <v>0.72</v>
      </c>
      <c r="X854"/>
      <c r="Z854"/>
    </row>
    <row r="855" spans="21:26" x14ac:dyDescent="0.35">
      <c r="U855" s="1" t="s">
        <v>1766</v>
      </c>
      <c r="V855" t="s">
        <v>2053</v>
      </c>
      <c r="W855" s="3">
        <v>0.73499999999999999</v>
      </c>
      <c r="X855"/>
      <c r="Z855"/>
    </row>
    <row r="856" spans="21:26" x14ac:dyDescent="0.35">
      <c r="U856" s="1" t="s">
        <v>1766</v>
      </c>
      <c r="V856" t="s">
        <v>2054</v>
      </c>
      <c r="W856" s="3">
        <v>0.46499999999999997</v>
      </c>
      <c r="X856"/>
      <c r="Z856"/>
    </row>
    <row r="857" spans="21:26" x14ac:dyDescent="0.35">
      <c r="U857" s="1" t="s">
        <v>1766</v>
      </c>
      <c r="V857" t="s">
        <v>2055</v>
      </c>
      <c r="W857" s="3">
        <v>0.96</v>
      </c>
      <c r="X857"/>
      <c r="Z857"/>
    </row>
    <row r="858" spans="21:26" x14ac:dyDescent="0.35">
      <c r="U858" s="1" t="s">
        <v>1766</v>
      </c>
      <c r="V858" t="s">
        <v>2056</v>
      </c>
      <c r="W858" s="3">
        <v>0.97499999999999998</v>
      </c>
      <c r="X858"/>
      <c r="Z858"/>
    </row>
    <row r="859" spans="21:26" x14ac:dyDescent="0.35">
      <c r="U859" s="1" t="s">
        <v>1766</v>
      </c>
      <c r="V859" t="s">
        <v>2057</v>
      </c>
      <c r="W859" s="3">
        <v>0.58499999999999996</v>
      </c>
      <c r="X859"/>
      <c r="Z859"/>
    </row>
    <row r="860" spans="21:26" x14ac:dyDescent="0.35">
      <c r="U860" s="1" t="s">
        <v>1766</v>
      </c>
      <c r="V860" t="s">
        <v>2058</v>
      </c>
      <c r="W860" s="3">
        <v>1.2</v>
      </c>
      <c r="X860"/>
      <c r="Z860"/>
    </row>
    <row r="861" spans="21:26" x14ac:dyDescent="0.35">
      <c r="U861" s="1" t="s">
        <v>1766</v>
      </c>
      <c r="V861" t="s">
        <v>2059</v>
      </c>
      <c r="W861" s="3">
        <v>1.2149999999999999</v>
      </c>
      <c r="X861"/>
      <c r="Z861"/>
    </row>
    <row r="862" spans="21:26" x14ac:dyDescent="0.35">
      <c r="U862" s="1" t="s">
        <v>1766</v>
      </c>
      <c r="V862" t="s">
        <v>2060</v>
      </c>
      <c r="W862" s="3">
        <v>0.70499999999999996</v>
      </c>
      <c r="X862"/>
      <c r="Z862"/>
    </row>
    <row r="863" spans="21:26" x14ac:dyDescent="0.35">
      <c r="U863" s="1" t="s">
        <v>1766</v>
      </c>
      <c r="V863" t="s">
        <v>2061</v>
      </c>
      <c r="W863" s="3">
        <v>1.44</v>
      </c>
      <c r="X863"/>
      <c r="Z863"/>
    </row>
    <row r="864" spans="21:26" x14ac:dyDescent="0.35">
      <c r="U864" s="1" t="s">
        <v>1766</v>
      </c>
      <c r="V864" t="s">
        <v>2062</v>
      </c>
      <c r="W864" s="3">
        <v>1.4549999999999998</v>
      </c>
      <c r="X864"/>
      <c r="Z864"/>
    </row>
    <row r="865" spans="21:26" x14ac:dyDescent="0.35">
      <c r="U865" s="1" t="s">
        <v>1766</v>
      </c>
      <c r="V865" t="s">
        <v>2063</v>
      </c>
      <c r="W865" s="3">
        <v>0.82499999999999996</v>
      </c>
      <c r="X865"/>
      <c r="Z865"/>
    </row>
    <row r="866" spans="21:26" x14ac:dyDescent="0.35">
      <c r="U866" s="1" t="s">
        <v>1766</v>
      </c>
      <c r="V866" t="s">
        <v>2064</v>
      </c>
      <c r="W866" s="3">
        <v>0.94499999999999995</v>
      </c>
      <c r="X866"/>
      <c r="Z866"/>
    </row>
    <row r="867" spans="21:26" x14ac:dyDescent="0.35">
      <c r="U867" s="1" t="s">
        <v>1766</v>
      </c>
      <c r="V867" t="s">
        <v>2065</v>
      </c>
      <c r="W867" s="3">
        <v>1.0649999999999999</v>
      </c>
      <c r="X867"/>
      <c r="Z867"/>
    </row>
    <row r="868" spans="21:26" x14ac:dyDescent="0.35">
      <c r="U868" s="1" t="s">
        <v>1766</v>
      </c>
      <c r="V868" t="s">
        <v>2066</v>
      </c>
      <c r="W868" s="3">
        <v>1.1850000000000001</v>
      </c>
      <c r="X868"/>
      <c r="Z868"/>
    </row>
    <row r="869" spans="21:26" x14ac:dyDescent="0.35">
      <c r="U869" s="1" t="s">
        <v>1767</v>
      </c>
      <c r="V869" t="s">
        <v>2067</v>
      </c>
      <c r="W869" s="3">
        <v>0.03</v>
      </c>
      <c r="X869"/>
      <c r="Z869"/>
    </row>
    <row r="870" spans="21:26" x14ac:dyDescent="0.35">
      <c r="U870" s="1" t="s">
        <v>1767</v>
      </c>
      <c r="V870" t="s">
        <v>2068</v>
      </c>
      <c r="W870" s="3">
        <v>4.4999999999999998E-2</v>
      </c>
      <c r="X870"/>
      <c r="Z870"/>
    </row>
    <row r="871" spans="21:26" x14ac:dyDescent="0.35">
      <c r="U871" s="1" t="s">
        <v>1767</v>
      </c>
      <c r="V871" t="s">
        <v>2069</v>
      </c>
      <c r="W871" s="3">
        <v>0.06</v>
      </c>
      <c r="X871"/>
      <c r="Z871"/>
    </row>
    <row r="872" spans="21:26" x14ac:dyDescent="0.35">
      <c r="U872" s="1" t="s">
        <v>1767</v>
      </c>
      <c r="V872" t="s">
        <v>2070</v>
      </c>
      <c r="W872" s="3">
        <v>7.4999999999999997E-2</v>
      </c>
      <c r="X872"/>
      <c r="Z872"/>
    </row>
    <row r="873" spans="21:26" x14ac:dyDescent="0.35">
      <c r="U873" s="1" t="s">
        <v>1767</v>
      </c>
      <c r="V873" t="s">
        <v>2071</v>
      </c>
      <c r="W873" s="3">
        <v>7.4999999999999997E-2</v>
      </c>
      <c r="X873"/>
      <c r="Z873"/>
    </row>
    <row r="874" spans="21:26" x14ac:dyDescent="0.35">
      <c r="U874" s="1" t="s">
        <v>1767</v>
      </c>
      <c r="V874" t="s">
        <v>2072</v>
      </c>
      <c r="W874" s="3">
        <v>0.06</v>
      </c>
      <c r="X874"/>
      <c r="Z874"/>
    </row>
    <row r="875" spans="21:26" x14ac:dyDescent="0.35">
      <c r="U875" s="1" t="s">
        <v>1767</v>
      </c>
      <c r="V875" t="s">
        <v>2073</v>
      </c>
      <c r="W875" s="3">
        <v>0.105</v>
      </c>
      <c r="X875"/>
      <c r="Z875"/>
    </row>
    <row r="876" spans="21:26" x14ac:dyDescent="0.35">
      <c r="U876" s="1" t="s">
        <v>1767</v>
      </c>
      <c r="V876" t="s">
        <v>2074</v>
      </c>
      <c r="W876" s="3">
        <v>0.13500000000000001</v>
      </c>
      <c r="X876"/>
      <c r="Z876"/>
    </row>
    <row r="877" spans="21:26" x14ac:dyDescent="0.35">
      <c r="U877" s="1" t="s">
        <v>1767</v>
      </c>
      <c r="V877" t="s">
        <v>2075</v>
      </c>
      <c r="W877" s="3">
        <v>0.15</v>
      </c>
      <c r="X877"/>
      <c r="Z877"/>
    </row>
    <row r="878" spans="21:26" x14ac:dyDescent="0.35">
      <c r="U878" s="1" t="s">
        <v>1767</v>
      </c>
      <c r="V878" t="s">
        <v>2076</v>
      </c>
      <c r="W878" s="3">
        <v>0.16500000000000001</v>
      </c>
      <c r="X878"/>
      <c r="Z878"/>
    </row>
    <row r="879" spans="21:26" x14ac:dyDescent="0.35">
      <c r="U879" s="1" t="s">
        <v>1767</v>
      </c>
      <c r="V879" t="s">
        <v>2077</v>
      </c>
      <c r="W879" s="3">
        <v>0.16500000000000001</v>
      </c>
      <c r="X879"/>
      <c r="Z879"/>
    </row>
    <row r="880" spans="21:26" x14ac:dyDescent="0.35">
      <c r="U880" s="1" t="s">
        <v>1767</v>
      </c>
      <c r="V880" t="s">
        <v>2012</v>
      </c>
      <c r="W880" s="3">
        <v>0.16500000000000001</v>
      </c>
      <c r="X880"/>
      <c r="Z880"/>
    </row>
    <row r="881" spans="21:26" x14ac:dyDescent="0.35">
      <c r="U881" s="1" t="s">
        <v>1767</v>
      </c>
      <c r="V881" t="s">
        <v>2078</v>
      </c>
      <c r="W881" s="3">
        <v>0.12</v>
      </c>
      <c r="X881"/>
      <c r="Z881"/>
    </row>
    <row r="882" spans="21:26" x14ac:dyDescent="0.35">
      <c r="U882" s="1" t="s">
        <v>1767</v>
      </c>
      <c r="V882" t="s">
        <v>2079</v>
      </c>
      <c r="W882" s="3">
        <v>0.22499999999999998</v>
      </c>
      <c r="X882"/>
      <c r="Z882"/>
    </row>
    <row r="883" spans="21:26" x14ac:dyDescent="0.35">
      <c r="U883" s="1" t="s">
        <v>1767</v>
      </c>
      <c r="V883" t="s">
        <v>2080</v>
      </c>
      <c r="W883" s="3">
        <v>0.28499999999999998</v>
      </c>
      <c r="X883"/>
      <c r="Z883"/>
    </row>
    <row r="884" spans="21:26" x14ac:dyDescent="0.35">
      <c r="U884" s="1" t="s">
        <v>1767</v>
      </c>
      <c r="V884" t="s">
        <v>2081</v>
      </c>
      <c r="W884" s="3">
        <v>0.315</v>
      </c>
      <c r="X884"/>
      <c r="Z884"/>
    </row>
    <row r="885" spans="21:26" x14ac:dyDescent="0.35">
      <c r="U885" s="1" t="s">
        <v>1767</v>
      </c>
      <c r="V885" t="s">
        <v>2082</v>
      </c>
      <c r="W885" s="3">
        <v>0.34499999999999997</v>
      </c>
      <c r="X885"/>
      <c r="Z885"/>
    </row>
    <row r="886" spans="21:26" x14ac:dyDescent="0.35">
      <c r="U886" s="1" t="s">
        <v>1767</v>
      </c>
      <c r="V886" t="s">
        <v>2083</v>
      </c>
      <c r="W886" s="3">
        <v>0.18</v>
      </c>
      <c r="X886"/>
      <c r="Z886"/>
    </row>
    <row r="887" spans="21:26" x14ac:dyDescent="0.35">
      <c r="U887" s="1" t="s">
        <v>1767</v>
      </c>
      <c r="V887" t="s">
        <v>2084</v>
      </c>
      <c r="W887" s="3">
        <v>0.34499999999999997</v>
      </c>
      <c r="X887"/>
      <c r="Z887"/>
    </row>
    <row r="888" spans="21:26" x14ac:dyDescent="0.35">
      <c r="U888" s="1" t="s">
        <v>1767</v>
      </c>
      <c r="V888" t="s">
        <v>2085</v>
      </c>
      <c r="W888" s="3">
        <v>0.435</v>
      </c>
      <c r="X888"/>
      <c r="Z888"/>
    </row>
    <row r="889" spans="21:26" x14ac:dyDescent="0.35">
      <c r="U889" s="1" t="s">
        <v>1767</v>
      </c>
      <c r="V889" t="s">
        <v>2086</v>
      </c>
      <c r="W889" s="3">
        <v>0.52500000000000002</v>
      </c>
      <c r="X889"/>
      <c r="Z889"/>
    </row>
    <row r="890" spans="21:26" x14ac:dyDescent="0.35">
      <c r="U890" s="1" t="s">
        <v>1767</v>
      </c>
      <c r="V890" t="s">
        <v>2087</v>
      </c>
      <c r="W890" s="3">
        <v>0.24</v>
      </c>
      <c r="X890"/>
      <c r="Z890"/>
    </row>
    <row r="891" spans="21:26" x14ac:dyDescent="0.35">
      <c r="U891" s="1" t="s">
        <v>1767</v>
      </c>
      <c r="V891" t="s">
        <v>2088</v>
      </c>
      <c r="W891" s="3">
        <v>0.46499999999999997</v>
      </c>
      <c r="X891"/>
      <c r="Z891"/>
    </row>
    <row r="892" spans="21:26" x14ac:dyDescent="0.35">
      <c r="U892" s="1" t="s">
        <v>1767</v>
      </c>
      <c r="V892" t="s">
        <v>2089</v>
      </c>
      <c r="W892" s="3">
        <v>0.58499999999999996</v>
      </c>
      <c r="X892"/>
      <c r="Z892"/>
    </row>
    <row r="893" spans="21:26" x14ac:dyDescent="0.35">
      <c r="U893" s="1" t="s">
        <v>1767</v>
      </c>
      <c r="V893" t="s">
        <v>2090</v>
      </c>
      <c r="W893" s="3">
        <v>0.64499999999999991</v>
      </c>
      <c r="X893"/>
      <c r="Z893"/>
    </row>
    <row r="894" spans="21:26" x14ac:dyDescent="0.35">
      <c r="U894" s="1" t="s">
        <v>1767</v>
      </c>
      <c r="V894" t="s">
        <v>2091</v>
      </c>
      <c r="W894" s="3">
        <v>0.70499999999999996</v>
      </c>
      <c r="X894"/>
      <c r="Z894"/>
    </row>
    <row r="895" spans="21:26" x14ac:dyDescent="0.35">
      <c r="U895" s="1" t="s">
        <v>1767</v>
      </c>
      <c r="V895" t="s">
        <v>2092</v>
      </c>
      <c r="W895" s="3">
        <v>0.58499999999999996</v>
      </c>
      <c r="X895"/>
      <c r="Z895"/>
    </row>
    <row r="896" spans="21:26" x14ac:dyDescent="0.35">
      <c r="U896" s="1" t="s">
        <v>1767</v>
      </c>
      <c r="V896" t="s">
        <v>2093</v>
      </c>
      <c r="W896" s="3">
        <v>0.73499999999999999</v>
      </c>
      <c r="X896"/>
      <c r="Z896"/>
    </row>
    <row r="897" spans="21:26" x14ac:dyDescent="0.35">
      <c r="U897" s="1" t="s">
        <v>1767</v>
      </c>
      <c r="V897" t="s">
        <v>2094</v>
      </c>
      <c r="W897" s="3">
        <v>0.88500000000000001</v>
      </c>
      <c r="X897"/>
      <c r="Z897"/>
    </row>
    <row r="898" spans="21:26" x14ac:dyDescent="0.35">
      <c r="U898" s="1" t="s">
        <v>1767</v>
      </c>
      <c r="V898" t="s">
        <v>2095</v>
      </c>
      <c r="W898" s="3">
        <v>0.70499999999999996</v>
      </c>
      <c r="X898"/>
      <c r="Z898"/>
    </row>
    <row r="899" spans="21:26" x14ac:dyDescent="0.35">
      <c r="U899" s="1" t="s">
        <v>1767</v>
      </c>
      <c r="V899" t="s">
        <v>2096</v>
      </c>
      <c r="W899" s="3">
        <v>0.88500000000000001</v>
      </c>
      <c r="X899"/>
      <c r="Z899"/>
    </row>
    <row r="900" spans="21:26" x14ac:dyDescent="0.35">
      <c r="U900" s="1" t="s">
        <v>1767</v>
      </c>
      <c r="V900" t="s">
        <v>2097</v>
      </c>
      <c r="W900" s="3">
        <v>1.0049999999999999</v>
      </c>
      <c r="X900"/>
      <c r="Z900"/>
    </row>
    <row r="901" spans="21:26" x14ac:dyDescent="0.35">
      <c r="U901" s="1" t="s">
        <v>1767</v>
      </c>
      <c r="V901" t="s">
        <v>2098</v>
      </c>
      <c r="W901" s="3">
        <v>1.0649999999999999</v>
      </c>
      <c r="X901"/>
      <c r="Z901"/>
    </row>
    <row r="902" spans="21:26" x14ac:dyDescent="0.35">
      <c r="U902" s="1" t="s">
        <v>1767</v>
      </c>
      <c r="V902" t="s">
        <v>2099</v>
      </c>
      <c r="W902" s="3">
        <v>1.0349999999999999</v>
      </c>
      <c r="X902"/>
      <c r="Z902"/>
    </row>
    <row r="903" spans="21:26" x14ac:dyDescent="0.35">
      <c r="U903" s="1" t="s">
        <v>1767</v>
      </c>
      <c r="V903" t="s">
        <v>2100</v>
      </c>
      <c r="W903" s="3">
        <v>1.2450000000000001</v>
      </c>
      <c r="X903"/>
      <c r="Z903"/>
    </row>
    <row r="904" spans="21:26" x14ac:dyDescent="0.35">
      <c r="U904" s="1" t="s">
        <v>1767</v>
      </c>
      <c r="V904" t="s">
        <v>2101</v>
      </c>
      <c r="W904" s="3">
        <v>1.1850000000000001</v>
      </c>
      <c r="X904"/>
      <c r="Z904"/>
    </row>
    <row r="905" spans="21:26" x14ac:dyDescent="0.35">
      <c r="U905" s="1" t="s">
        <v>1767</v>
      </c>
      <c r="V905" t="s">
        <v>2102</v>
      </c>
      <c r="W905" s="3">
        <v>1.425</v>
      </c>
      <c r="X905"/>
      <c r="Z905"/>
    </row>
    <row r="906" spans="21:26" x14ac:dyDescent="0.35">
      <c r="U906" s="1" t="s">
        <v>1767</v>
      </c>
      <c r="V906" t="s">
        <v>2103</v>
      </c>
      <c r="W906" s="3">
        <v>1.335</v>
      </c>
      <c r="X906"/>
      <c r="Z906"/>
    </row>
    <row r="907" spans="21:26" x14ac:dyDescent="0.35">
      <c r="U907" s="1" t="s">
        <v>1767</v>
      </c>
      <c r="V907" t="s">
        <v>2104</v>
      </c>
      <c r="W907" s="3">
        <v>1.6049999999999998</v>
      </c>
      <c r="X907"/>
      <c r="Z907"/>
    </row>
    <row r="908" spans="21:26" x14ac:dyDescent="0.35">
      <c r="U908" s="1" t="s">
        <v>1767</v>
      </c>
      <c r="V908" t="s">
        <v>2105</v>
      </c>
      <c r="W908" s="3">
        <v>1.4850000000000001</v>
      </c>
      <c r="X908"/>
      <c r="Z908"/>
    </row>
    <row r="909" spans="21:26" x14ac:dyDescent="0.35">
      <c r="U909" s="1" t="s">
        <v>1767</v>
      </c>
      <c r="V909" t="s">
        <v>2106</v>
      </c>
      <c r="W909" s="3">
        <v>1.7849999999999999</v>
      </c>
      <c r="X909"/>
      <c r="Z909"/>
    </row>
    <row r="910" spans="21:26" x14ac:dyDescent="0.35">
      <c r="U910" s="1" t="s">
        <v>1631</v>
      </c>
      <c r="V910" t="s">
        <v>2107</v>
      </c>
      <c r="W910" s="3">
        <v>1.4999999999999999E-2</v>
      </c>
      <c r="X910"/>
      <c r="Z910"/>
    </row>
    <row r="911" spans="21:26" x14ac:dyDescent="0.35">
      <c r="U911" s="1" t="s">
        <v>1631</v>
      </c>
      <c r="V911" t="s">
        <v>2108</v>
      </c>
      <c r="W911" s="3">
        <v>0.03</v>
      </c>
      <c r="X911"/>
      <c r="Z911"/>
    </row>
    <row r="912" spans="21:26" x14ac:dyDescent="0.35">
      <c r="U912" s="1" t="s">
        <v>1631</v>
      </c>
      <c r="V912" t="s">
        <v>2109</v>
      </c>
      <c r="W912" s="3">
        <v>0.03</v>
      </c>
      <c r="X912"/>
      <c r="Z912"/>
    </row>
    <row r="913" spans="21:26" x14ac:dyDescent="0.35">
      <c r="U913" s="1" t="s">
        <v>1631</v>
      </c>
      <c r="V913" t="s">
        <v>2110</v>
      </c>
      <c r="W913" s="3">
        <v>0.03</v>
      </c>
      <c r="X913"/>
      <c r="Z913"/>
    </row>
    <row r="914" spans="21:26" x14ac:dyDescent="0.35">
      <c r="U914" s="1" t="s">
        <v>1631</v>
      </c>
      <c r="V914" t="s">
        <v>2111</v>
      </c>
      <c r="W914" s="3">
        <v>0.03</v>
      </c>
      <c r="X914"/>
      <c r="Z914"/>
    </row>
    <row r="915" spans="21:26" x14ac:dyDescent="0.35">
      <c r="U915" s="1" t="s">
        <v>1631</v>
      </c>
      <c r="V915" t="s">
        <v>2112</v>
      </c>
      <c r="W915" s="3">
        <v>4.4999999999999998E-2</v>
      </c>
      <c r="X915"/>
      <c r="Z915"/>
    </row>
    <row r="916" spans="21:26" x14ac:dyDescent="0.35">
      <c r="U916" s="1" t="s">
        <v>1631</v>
      </c>
      <c r="V916" t="s">
        <v>2013</v>
      </c>
      <c r="W916" s="3">
        <v>4.4999999999999998E-2</v>
      </c>
      <c r="X916"/>
      <c r="Z916"/>
    </row>
    <row r="917" spans="21:26" x14ac:dyDescent="0.35">
      <c r="U917" s="1" t="s">
        <v>1631</v>
      </c>
      <c r="V917" t="s">
        <v>2113</v>
      </c>
      <c r="W917" s="3">
        <v>0.06</v>
      </c>
      <c r="X917"/>
      <c r="Z917"/>
    </row>
    <row r="918" spans="21:26" x14ac:dyDescent="0.35">
      <c r="U918" s="1" t="s">
        <v>1631</v>
      </c>
      <c r="V918" t="s">
        <v>2114</v>
      </c>
      <c r="W918" s="3">
        <v>0.06</v>
      </c>
      <c r="X918"/>
      <c r="Z918"/>
    </row>
    <row r="919" spans="21:26" x14ac:dyDescent="0.35">
      <c r="U919" s="1" t="s">
        <v>1631</v>
      </c>
      <c r="V919" t="s">
        <v>2115</v>
      </c>
      <c r="W919" s="3">
        <v>0.13500000000000001</v>
      </c>
      <c r="X919"/>
      <c r="Z919"/>
    </row>
    <row r="920" spans="21:26" x14ac:dyDescent="0.35">
      <c r="U920" s="1" t="s">
        <v>1631</v>
      </c>
      <c r="V920" t="s">
        <v>2116</v>
      </c>
      <c r="W920" s="3">
        <v>0.13500000000000001</v>
      </c>
      <c r="X920"/>
      <c r="Z920"/>
    </row>
    <row r="921" spans="21:26" x14ac:dyDescent="0.35">
      <c r="U921" s="1" t="s">
        <v>1631</v>
      </c>
      <c r="V921" t="s">
        <v>2117</v>
      </c>
      <c r="W921" s="3">
        <v>0.19500000000000001</v>
      </c>
      <c r="X921"/>
      <c r="Z921"/>
    </row>
    <row r="922" spans="21:26" x14ac:dyDescent="0.35">
      <c r="U922" s="1" t="s">
        <v>1631</v>
      </c>
      <c r="V922" t="s">
        <v>2118</v>
      </c>
      <c r="W922" s="3">
        <v>0.34499999999999997</v>
      </c>
      <c r="X922"/>
      <c r="Z922"/>
    </row>
    <row r="923" spans="21:26" x14ac:dyDescent="0.35">
      <c r="U923" s="1" t="s">
        <v>1631</v>
      </c>
      <c r="V923" t="s">
        <v>2119</v>
      </c>
      <c r="W923" s="3">
        <v>0.435</v>
      </c>
      <c r="X923"/>
      <c r="Z923"/>
    </row>
    <row r="924" spans="21:26" x14ac:dyDescent="0.35">
      <c r="U924" s="1" t="s">
        <v>1631</v>
      </c>
      <c r="V924" t="s">
        <v>2120</v>
      </c>
      <c r="W924" s="3">
        <v>0.49499999999999994</v>
      </c>
      <c r="X924"/>
      <c r="Z924"/>
    </row>
    <row r="925" spans="21:26" x14ac:dyDescent="0.35">
      <c r="U925" s="1" t="s">
        <v>624</v>
      </c>
      <c r="V925" t="s">
        <v>2121</v>
      </c>
      <c r="W925" s="3">
        <v>1.4999999999999999E-2</v>
      </c>
      <c r="X925"/>
      <c r="Z925"/>
    </row>
    <row r="926" spans="21:26" x14ac:dyDescent="0.35">
      <c r="U926" s="1" t="s">
        <v>624</v>
      </c>
      <c r="V926" t="s">
        <v>2122</v>
      </c>
      <c r="W926" s="3">
        <v>0.03</v>
      </c>
      <c r="X926"/>
      <c r="Z926"/>
    </row>
    <row r="927" spans="21:26" x14ac:dyDescent="0.35">
      <c r="U927" s="1" t="s">
        <v>624</v>
      </c>
      <c r="V927" t="s">
        <v>2123</v>
      </c>
      <c r="W927" s="3">
        <v>0.03</v>
      </c>
      <c r="X927"/>
      <c r="Z927"/>
    </row>
    <row r="928" spans="21:26" x14ac:dyDescent="0.35">
      <c r="U928" s="1" t="s">
        <v>624</v>
      </c>
      <c r="V928" t="s">
        <v>2124</v>
      </c>
      <c r="W928" s="3">
        <v>0.03</v>
      </c>
      <c r="X928"/>
      <c r="Z928"/>
    </row>
    <row r="929" spans="21:26" x14ac:dyDescent="0.35">
      <c r="U929" s="1" t="s">
        <v>624</v>
      </c>
      <c r="V929" t="s">
        <v>2125</v>
      </c>
      <c r="W929" s="3">
        <v>0.06</v>
      </c>
      <c r="X929"/>
      <c r="Z929"/>
    </row>
    <row r="930" spans="21:26" x14ac:dyDescent="0.35">
      <c r="U930" s="1" t="s">
        <v>624</v>
      </c>
      <c r="V930" t="s">
        <v>2126</v>
      </c>
      <c r="W930" s="3">
        <v>0.06</v>
      </c>
      <c r="X930"/>
      <c r="Z930"/>
    </row>
    <row r="931" spans="21:26" x14ac:dyDescent="0.35">
      <c r="U931" s="1" t="s">
        <v>624</v>
      </c>
      <c r="V931" t="s">
        <v>2127</v>
      </c>
      <c r="W931" s="3">
        <v>0.06</v>
      </c>
      <c r="X931"/>
      <c r="Z931"/>
    </row>
    <row r="932" spans="21:26" x14ac:dyDescent="0.35">
      <c r="U932" s="1" t="s">
        <v>624</v>
      </c>
      <c r="V932" t="s">
        <v>2128</v>
      </c>
      <c r="W932" s="3">
        <v>0.09</v>
      </c>
      <c r="X932"/>
      <c r="Z932"/>
    </row>
    <row r="933" spans="21:26" x14ac:dyDescent="0.35">
      <c r="U933" s="1" t="s">
        <v>624</v>
      </c>
      <c r="V933" t="s">
        <v>2129</v>
      </c>
      <c r="W933" s="3">
        <v>0.09</v>
      </c>
      <c r="X933"/>
      <c r="Z933"/>
    </row>
    <row r="934" spans="21:26" x14ac:dyDescent="0.35">
      <c r="U934" s="1" t="s">
        <v>624</v>
      </c>
      <c r="V934" t="s">
        <v>2130</v>
      </c>
      <c r="W934" s="3">
        <v>0.09</v>
      </c>
      <c r="X934"/>
      <c r="Z934"/>
    </row>
    <row r="935" spans="21:26" x14ac:dyDescent="0.35">
      <c r="U935" s="1" t="s">
        <v>624</v>
      </c>
      <c r="V935" t="s">
        <v>2131</v>
      </c>
      <c r="W935" s="3">
        <v>0.12</v>
      </c>
      <c r="X935"/>
      <c r="Z935"/>
    </row>
    <row r="936" spans="21:26" x14ac:dyDescent="0.35">
      <c r="U936" s="1" t="s">
        <v>624</v>
      </c>
      <c r="V936" t="s">
        <v>2132</v>
      </c>
      <c r="W936" s="3">
        <v>0.12</v>
      </c>
      <c r="X936"/>
      <c r="Z936"/>
    </row>
    <row r="937" spans="21:26" x14ac:dyDescent="0.35">
      <c r="U937" s="1" t="s">
        <v>624</v>
      </c>
      <c r="V937" t="s">
        <v>2133</v>
      </c>
      <c r="W937" s="3">
        <v>0.12</v>
      </c>
      <c r="X937"/>
      <c r="Z937"/>
    </row>
    <row r="938" spans="21:26" x14ac:dyDescent="0.35">
      <c r="U938" s="1" t="s">
        <v>624</v>
      </c>
      <c r="V938" t="s">
        <v>2134</v>
      </c>
      <c r="W938" s="3">
        <v>0.12</v>
      </c>
      <c r="X938"/>
      <c r="Z938"/>
    </row>
    <row r="939" spans="21:26" x14ac:dyDescent="0.35">
      <c r="U939" s="1" t="s">
        <v>624</v>
      </c>
      <c r="V939" t="s">
        <v>2135</v>
      </c>
      <c r="W939" s="3">
        <v>0.12</v>
      </c>
      <c r="X939"/>
      <c r="Z939"/>
    </row>
    <row r="940" spans="21:26" x14ac:dyDescent="0.35">
      <c r="U940" s="1" t="s">
        <v>624</v>
      </c>
      <c r="V940" t="s">
        <v>2136</v>
      </c>
      <c r="W940" s="3">
        <v>0.12</v>
      </c>
      <c r="X940"/>
      <c r="Z940"/>
    </row>
    <row r="941" spans="21:26" x14ac:dyDescent="0.35">
      <c r="U941" s="1" t="s">
        <v>624</v>
      </c>
      <c r="V941" t="s">
        <v>2137</v>
      </c>
      <c r="W941" s="3">
        <v>0.15</v>
      </c>
      <c r="X941"/>
      <c r="Z941"/>
    </row>
    <row r="942" spans="21:26" x14ac:dyDescent="0.35">
      <c r="U942" s="1" t="s">
        <v>624</v>
      </c>
      <c r="V942" t="s">
        <v>2138</v>
      </c>
      <c r="W942" s="3">
        <v>0.15</v>
      </c>
      <c r="X942"/>
      <c r="Z942"/>
    </row>
    <row r="943" spans="21:26" x14ac:dyDescent="0.35">
      <c r="U943" s="1" t="s">
        <v>624</v>
      </c>
      <c r="V943" t="s">
        <v>2139</v>
      </c>
      <c r="W943" s="3">
        <v>0.15</v>
      </c>
      <c r="X943"/>
      <c r="Z943"/>
    </row>
    <row r="944" spans="21:26" x14ac:dyDescent="0.35">
      <c r="U944" s="1" t="s">
        <v>624</v>
      </c>
      <c r="V944" t="s">
        <v>2140</v>
      </c>
      <c r="W944" s="3">
        <v>0.19500000000000001</v>
      </c>
      <c r="X944"/>
      <c r="Z944"/>
    </row>
    <row r="945" spans="21:26" x14ac:dyDescent="0.35">
      <c r="U945" s="1" t="s">
        <v>624</v>
      </c>
      <c r="V945" t="s">
        <v>2141</v>
      </c>
      <c r="W945" s="3">
        <v>0.19500000000000001</v>
      </c>
      <c r="X945"/>
      <c r="Z945"/>
    </row>
    <row r="946" spans="21:26" x14ac:dyDescent="0.35">
      <c r="U946" s="1" t="s">
        <v>624</v>
      </c>
      <c r="V946" t="s">
        <v>2142</v>
      </c>
      <c r="W946" s="3">
        <v>0.19500000000000001</v>
      </c>
      <c r="X946"/>
      <c r="Z946"/>
    </row>
    <row r="947" spans="21:26" x14ac:dyDescent="0.35">
      <c r="U947" s="1" t="s">
        <v>624</v>
      </c>
      <c r="V947" t="s">
        <v>2143</v>
      </c>
      <c r="W947" s="3">
        <v>0.19500000000000001</v>
      </c>
      <c r="X947"/>
      <c r="Z947"/>
    </row>
    <row r="948" spans="21:26" x14ac:dyDescent="0.35">
      <c r="U948" s="1" t="s">
        <v>624</v>
      </c>
      <c r="V948" t="s">
        <v>2144</v>
      </c>
      <c r="W948" s="3">
        <v>0.22499999999999998</v>
      </c>
      <c r="X948"/>
      <c r="Z948"/>
    </row>
    <row r="949" spans="21:26" x14ac:dyDescent="0.35">
      <c r="U949" s="1" t="s">
        <v>624</v>
      </c>
      <c r="V949" t="s">
        <v>2145</v>
      </c>
      <c r="W949" s="3">
        <v>0.27</v>
      </c>
      <c r="X949"/>
      <c r="Z949"/>
    </row>
    <row r="950" spans="21:26" x14ac:dyDescent="0.35">
      <c r="U950" s="1" t="s">
        <v>624</v>
      </c>
      <c r="V950" t="s">
        <v>2146</v>
      </c>
      <c r="W950" s="3">
        <v>0.27</v>
      </c>
      <c r="X950"/>
      <c r="Z950"/>
    </row>
    <row r="951" spans="21:26" x14ac:dyDescent="0.35">
      <c r="U951" s="1" t="s">
        <v>624</v>
      </c>
      <c r="V951" t="s">
        <v>2147</v>
      </c>
      <c r="W951" s="3">
        <v>0.3</v>
      </c>
      <c r="X951"/>
      <c r="Z951"/>
    </row>
    <row r="952" spans="21:26" x14ac:dyDescent="0.35">
      <c r="U952" s="1" t="s">
        <v>624</v>
      </c>
      <c r="V952" t="s">
        <v>2148</v>
      </c>
      <c r="W952" s="3">
        <v>0.39</v>
      </c>
      <c r="X952"/>
      <c r="Z952"/>
    </row>
    <row r="953" spans="21:26" x14ac:dyDescent="0.35">
      <c r="U953" s="1" t="s">
        <v>625</v>
      </c>
      <c r="V953" t="s">
        <v>2283</v>
      </c>
      <c r="W953" s="3">
        <v>0.03</v>
      </c>
      <c r="X953"/>
      <c r="Z953"/>
    </row>
    <row r="954" spans="21:26" x14ac:dyDescent="0.35">
      <c r="U954" s="1" t="s">
        <v>625</v>
      </c>
      <c r="V954" t="s">
        <v>2284</v>
      </c>
      <c r="W954" s="3">
        <v>0.06</v>
      </c>
      <c r="X954"/>
      <c r="Z954"/>
    </row>
    <row r="955" spans="21:26" x14ac:dyDescent="0.35">
      <c r="U955" s="1" t="s">
        <v>625</v>
      </c>
      <c r="V955" t="s">
        <v>2285</v>
      </c>
      <c r="W955" s="3">
        <v>0.06</v>
      </c>
      <c r="X955"/>
      <c r="Z955"/>
    </row>
    <row r="956" spans="21:26" x14ac:dyDescent="0.35">
      <c r="U956" s="1" t="s">
        <v>625</v>
      </c>
      <c r="V956" t="s">
        <v>2286</v>
      </c>
      <c r="W956" s="3">
        <v>0.09</v>
      </c>
      <c r="X956"/>
      <c r="Z956"/>
    </row>
    <row r="957" spans="21:26" x14ac:dyDescent="0.35">
      <c r="U957" s="1" t="s">
        <v>625</v>
      </c>
      <c r="V957" t="s">
        <v>2287</v>
      </c>
      <c r="W957" s="3">
        <v>0.06</v>
      </c>
      <c r="X957"/>
      <c r="Z957"/>
    </row>
    <row r="958" spans="21:26" x14ac:dyDescent="0.35">
      <c r="U958" s="1" t="s">
        <v>625</v>
      </c>
      <c r="V958" t="s">
        <v>2288</v>
      </c>
      <c r="W958" s="3">
        <v>0.09</v>
      </c>
      <c r="X958"/>
      <c r="Z958"/>
    </row>
    <row r="959" spans="21:26" x14ac:dyDescent="0.35">
      <c r="U959" s="1" t="s">
        <v>625</v>
      </c>
      <c r="V959" t="s">
        <v>2289</v>
      </c>
      <c r="W959" s="3">
        <v>0.09</v>
      </c>
      <c r="X959"/>
      <c r="Z959"/>
    </row>
    <row r="960" spans="21:26" x14ac:dyDescent="0.35">
      <c r="U960" s="1" t="s">
        <v>625</v>
      </c>
      <c r="V960" t="s">
        <v>2290</v>
      </c>
      <c r="W960" s="3">
        <v>0.12</v>
      </c>
      <c r="X960"/>
      <c r="Z960"/>
    </row>
    <row r="961" spans="21:26" x14ac:dyDescent="0.35">
      <c r="U961" s="1" t="s">
        <v>625</v>
      </c>
      <c r="V961" t="s">
        <v>2291</v>
      </c>
      <c r="W961" s="3">
        <v>0.09</v>
      </c>
      <c r="X961"/>
      <c r="Z961"/>
    </row>
    <row r="962" spans="21:26" x14ac:dyDescent="0.35">
      <c r="U962" s="1" t="s">
        <v>625</v>
      </c>
      <c r="V962" t="s">
        <v>2292</v>
      </c>
      <c r="W962" s="3">
        <v>0.12</v>
      </c>
      <c r="X962"/>
      <c r="Z962"/>
    </row>
    <row r="963" spans="21:26" x14ac:dyDescent="0.35">
      <c r="U963" s="1" t="s">
        <v>625</v>
      </c>
      <c r="V963" t="s">
        <v>2293</v>
      </c>
      <c r="W963" s="3">
        <v>0.09</v>
      </c>
      <c r="X963"/>
      <c r="Z963"/>
    </row>
    <row r="964" spans="21:26" x14ac:dyDescent="0.35">
      <c r="U964" s="1" t="s">
        <v>625</v>
      </c>
      <c r="V964" t="s">
        <v>2294</v>
      </c>
      <c r="W964" s="3">
        <v>0.12</v>
      </c>
      <c r="X964"/>
      <c r="Z964"/>
    </row>
    <row r="965" spans="21:26" x14ac:dyDescent="0.35">
      <c r="U965" s="1" t="s">
        <v>625</v>
      </c>
      <c r="V965" t="s">
        <v>2295</v>
      </c>
      <c r="W965" s="3">
        <v>0.12</v>
      </c>
      <c r="X965"/>
      <c r="Z965"/>
    </row>
    <row r="966" spans="21:26" x14ac:dyDescent="0.35">
      <c r="U966" s="1" t="s">
        <v>625</v>
      </c>
      <c r="V966" t="s">
        <v>2296</v>
      </c>
      <c r="W966" s="3">
        <v>0.15</v>
      </c>
      <c r="X966"/>
      <c r="Z966"/>
    </row>
    <row r="967" spans="21:26" x14ac:dyDescent="0.35">
      <c r="U967" s="1" t="s">
        <v>625</v>
      </c>
      <c r="V967" t="s">
        <v>2297</v>
      </c>
      <c r="W967" s="3">
        <v>0.15</v>
      </c>
      <c r="X967"/>
      <c r="Z967"/>
    </row>
    <row r="968" spans="21:26" x14ac:dyDescent="0.35">
      <c r="U968" s="1" t="s">
        <v>625</v>
      </c>
      <c r="V968" t="s">
        <v>2298</v>
      </c>
      <c r="W968" s="3">
        <v>0.18</v>
      </c>
      <c r="X968"/>
      <c r="Z968"/>
    </row>
    <row r="969" spans="21:26" x14ac:dyDescent="0.35">
      <c r="U969" s="1" t="s">
        <v>625</v>
      </c>
      <c r="V969" t="s">
        <v>2299</v>
      </c>
      <c r="W969" s="3">
        <v>0.3</v>
      </c>
      <c r="X969"/>
      <c r="Z969"/>
    </row>
    <row r="970" spans="21:26" x14ac:dyDescent="0.35">
      <c r="U970" s="1" t="s">
        <v>625</v>
      </c>
      <c r="V970" t="s">
        <v>2300</v>
      </c>
      <c r="W970" s="3">
        <v>0.33</v>
      </c>
      <c r="X970"/>
      <c r="Z970"/>
    </row>
    <row r="971" spans="21:26" x14ac:dyDescent="0.35">
      <c r="U971" s="1" t="s">
        <v>625</v>
      </c>
      <c r="V971" t="s">
        <v>2301</v>
      </c>
      <c r="W971" s="3">
        <v>0.375</v>
      </c>
      <c r="X971"/>
      <c r="Z971"/>
    </row>
    <row r="972" spans="21:26" x14ac:dyDescent="0.35">
      <c r="U972" s="1" t="s">
        <v>625</v>
      </c>
      <c r="V972" t="s">
        <v>2302</v>
      </c>
      <c r="W972" s="3">
        <v>0.40500000000000003</v>
      </c>
      <c r="X972"/>
      <c r="Z972"/>
    </row>
    <row r="973" spans="21:26" x14ac:dyDescent="0.35">
      <c r="U973" s="1" t="s">
        <v>625</v>
      </c>
      <c r="V973" t="s">
        <v>2303</v>
      </c>
      <c r="W973" s="3">
        <v>0.375</v>
      </c>
      <c r="X973"/>
      <c r="Z973"/>
    </row>
    <row r="974" spans="21:26" x14ac:dyDescent="0.35">
      <c r="U974" s="1" t="s">
        <v>625</v>
      </c>
      <c r="V974" t="s">
        <v>2304</v>
      </c>
      <c r="W974" s="3">
        <v>0.40500000000000003</v>
      </c>
      <c r="X974"/>
      <c r="Z974"/>
    </row>
    <row r="975" spans="21:26" x14ac:dyDescent="0.35">
      <c r="U975" s="1" t="s">
        <v>625</v>
      </c>
      <c r="V975" t="s">
        <v>2305</v>
      </c>
      <c r="W975" s="3">
        <v>0.44999999999999996</v>
      </c>
      <c r="X975"/>
      <c r="Z975"/>
    </row>
    <row r="976" spans="21:26" x14ac:dyDescent="0.35">
      <c r="U976" s="1" t="s">
        <v>625</v>
      </c>
      <c r="V976" t="s">
        <v>2306</v>
      </c>
      <c r="W976" s="3">
        <v>0.48</v>
      </c>
      <c r="X976"/>
      <c r="Z976"/>
    </row>
    <row r="977" spans="24:26" x14ac:dyDescent="0.35">
      <c r="X977"/>
      <c r="Z977"/>
    </row>
    <row r="978" spans="24:26" x14ac:dyDescent="0.35">
      <c r="X978"/>
      <c r="Z978"/>
    </row>
    <row r="979" spans="24:26" x14ac:dyDescent="0.35">
      <c r="X979"/>
      <c r="Z979"/>
    </row>
    <row r="980" spans="24:26" x14ac:dyDescent="0.35">
      <c r="X980"/>
      <c r="Z980"/>
    </row>
  </sheetData>
  <mergeCells count="20">
    <mergeCell ref="B1:C1"/>
    <mergeCell ref="D1:E1"/>
    <mergeCell ref="AG1:AH1"/>
    <mergeCell ref="V1:W1"/>
    <mergeCell ref="AE1:AF1"/>
    <mergeCell ref="M1:N1"/>
    <mergeCell ref="S1:T1"/>
    <mergeCell ref="Y1:Z1"/>
    <mergeCell ref="AA1:AB1"/>
    <mergeCell ref="AC1:AD1"/>
    <mergeCell ref="F1:G1"/>
    <mergeCell ref="P1:Q1"/>
    <mergeCell ref="X501:Y501"/>
    <mergeCell ref="Z501:AA501"/>
    <mergeCell ref="AB501:AC501"/>
    <mergeCell ref="AD501:AE501"/>
    <mergeCell ref="M501:N501"/>
    <mergeCell ref="P501:Q501"/>
    <mergeCell ref="S501:T501"/>
    <mergeCell ref="V501:W501"/>
  </mergeCells>
  <phoneticPr fontId="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4"/>
  <sheetViews>
    <sheetView workbookViewId="0">
      <selection activeCell="H8" sqref="H8"/>
    </sheetView>
  </sheetViews>
  <sheetFormatPr baseColWidth="10" defaultColWidth="9.1796875" defaultRowHeight="14.5" x14ac:dyDescent="0.35"/>
  <cols>
    <col min="1" max="1" width="9.1796875" style="5"/>
    <col min="2" max="2" width="11.7265625" style="3" customWidth="1"/>
    <col min="3" max="3" width="9.1796875" style="3"/>
    <col min="4" max="4" width="9.7265625" style="3" bestFit="1" customWidth="1"/>
    <col min="5" max="5" width="10.26953125" style="3" bestFit="1" customWidth="1"/>
    <col min="6" max="6" width="9.1796875" style="5"/>
  </cols>
  <sheetData>
    <row r="1" spans="1:16" x14ac:dyDescent="0.35">
      <c r="A1" s="6"/>
      <c r="B1" s="403" t="e">
        <f>INDEX(Data!$V$3:$V$38,MATCH('Coach Card'!$BU$9,Data!$G$3:$G$38,0))</f>
        <v>#N/A</v>
      </c>
      <c r="C1" s="403"/>
      <c r="D1" s="403"/>
      <c r="E1" s="403"/>
      <c r="F1" s="6"/>
      <c r="G1" s="403" t="s">
        <v>2447</v>
      </c>
      <c r="H1" s="403"/>
      <c r="I1" s="403" t="s">
        <v>2448</v>
      </c>
      <c r="J1" s="403"/>
      <c r="K1" s="403" t="s">
        <v>71</v>
      </c>
      <c r="L1" s="403"/>
      <c r="M1" s="403" t="s">
        <v>72</v>
      </c>
      <c r="N1" s="403"/>
      <c r="O1" s="403" t="s">
        <v>73</v>
      </c>
      <c r="P1" s="403"/>
    </row>
    <row r="2" spans="1:16" x14ac:dyDescent="0.35">
      <c r="B2" s="1" t="s">
        <v>67</v>
      </c>
      <c r="C2" s="1" t="s">
        <v>68</v>
      </c>
      <c r="D2" s="1"/>
      <c r="E2" s="1"/>
      <c r="G2" t="s">
        <v>67</v>
      </c>
      <c r="H2" t="s">
        <v>68</v>
      </c>
      <c r="I2" t="s">
        <v>67</v>
      </c>
      <c r="J2" t="s">
        <v>68</v>
      </c>
      <c r="K2" t="s">
        <v>67</v>
      </c>
      <c r="L2" t="s">
        <v>68</v>
      </c>
      <c r="M2" t="s">
        <v>67</v>
      </c>
      <c r="N2" t="s">
        <v>68</v>
      </c>
      <c r="O2" t="s">
        <v>67</v>
      </c>
      <c r="P2" t="s">
        <v>68</v>
      </c>
    </row>
    <row r="3" spans="1:16" x14ac:dyDescent="0.35">
      <c r="G3" s="1" t="s">
        <v>69</v>
      </c>
      <c r="H3" s="4">
        <v>2.7</v>
      </c>
      <c r="I3" s="4" t="s">
        <v>69</v>
      </c>
      <c r="J3" s="4">
        <v>2.7</v>
      </c>
      <c r="K3" s="1" t="s">
        <v>69</v>
      </c>
      <c r="L3" s="4">
        <v>2.2999999999999998</v>
      </c>
      <c r="M3" s="1" t="s">
        <v>69</v>
      </c>
      <c r="N3" s="4">
        <v>3.1</v>
      </c>
      <c r="O3" s="4" t="s">
        <v>69</v>
      </c>
      <c r="P3" s="4">
        <v>2.2000000000000002</v>
      </c>
    </row>
    <row r="4" spans="1:16" x14ac:dyDescent="0.35">
      <c r="B4" s="3" t="e">
        <f>IF('Coach Card'!$T$5="",IF($B$1="Solo",IF(G3="","",G3),IF($B$1="MSolo",IF(I3="","",I3),IF($B$1="Duet",IF(K3="","",K3),IF($B$1="Mixed",IF(M3="","",M3),IF(O3="","",O3))))),IF($B$1="Solo",IF(G16="","",G16),IF($B$1="MSolo",IF(G16="","",G16),IF($B$1="Duet",IF(I16="","",I16),IF($B$1="Mixed",IF(K16="","",K16),IF(M16="","",M16))))))</f>
        <v>#N/A</v>
      </c>
      <c r="C4" s="3" t="e">
        <f>IF('Coach Card'!$T$5="",IF($B$1="Solo",IF(H3="","",H3),IF($B$1="MSolo",IF(J3="","",J3),IF($B$1="Duet",IF(L3="","",L3),IF($B$1="Mixed",IF(N3="","",N3),IF(P3="","",P3))))),IF($B$1="Solo",IF(H16="","",H16),IF($B$1="MSolo",IF(H16="","",H16),IF($B$1="Duet",IF(J16="","",J16),IF($B$1="Mixed",IF(L16="","",L16),IF(N16="","",N16))))))</f>
        <v>#N/A</v>
      </c>
      <c r="D4" s="3" t="str">
        <f>IFERROR(IF(B4&lt;&gt;"",COUNTIF('Coach Card'!$HI$19:$HI$68,_xlfn.NUMBERVALUE(LEFT(B4,1))),""),"")</f>
        <v/>
      </c>
      <c r="E4" s="3" t="str">
        <f>IFERROR(IF(D4&gt;1,B4,""),"")</f>
        <v/>
      </c>
      <c r="G4" s="1" t="s">
        <v>74</v>
      </c>
      <c r="H4" s="4">
        <v>2</v>
      </c>
      <c r="I4" s="4" t="s">
        <v>74</v>
      </c>
      <c r="J4" s="4">
        <v>2</v>
      </c>
      <c r="K4" s="1" t="s">
        <v>74</v>
      </c>
      <c r="L4" s="4">
        <v>2.1</v>
      </c>
      <c r="M4" s="1" t="s">
        <v>74</v>
      </c>
      <c r="N4" s="4">
        <v>2.9</v>
      </c>
      <c r="O4" s="4" t="s">
        <v>74</v>
      </c>
      <c r="P4" s="4">
        <v>1.9</v>
      </c>
    </row>
    <row r="5" spans="1:16" x14ac:dyDescent="0.35">
      <c r="B5" s="3" t="e">
        <f>IF('Coach Card'!$T$5="",IF($B$1="Solo",IF(G4="","",G4),IF($B$1="MSolo",IF(I4="","",I4),IF($B$1="Duet",IF(K4="","",K4),IF($B$1="Mixed",IF(M4="","",M4),IF(O4="","",O4))))),IF($B$1="Solo",IF(G17="","",G17),IF($B$1="MSolo",IF(G17="","",G17),IF($B$1="Duet",IF(I17="","",I17),IF($B$1="Mixed",IF(K17="","",K17),IF(M17="","",M17))))))</f>
        <v>#N/A</v>
      </c>
      <c r="C5" s="3" t="e">
        <f>IF('Coach Card'!$T$5="",IF($B$1="Solo",IF(H4="","",H4),IF($B$1="MSolo",IF(J4="","",J4),IF($B$1="Duet",IF(L4="","",L4),IF($B$1="Mixed",IF(N4="","",N4),IF(P4="","",P4))))),IF($B$1="Solo",IF(H17="","",H17),IF($B$1="MSolo",IF(H17="","",H17),IF($B$1="Duet",IF(J17="","",J17),IF($B$1="Mixed",IF(L17="","",L17),IF(N17="","",N17))))))</f>
        <v>#N/A</v>
      </c>
      <c r="D5" s="3" t="str">
        <f>IFERROR(IF(B5&lt;&gt;"",COUNTIF('Coach Card'!$HI$19:$HI$68,_xlfn.NUMBERVALUE(LEFT(B5,1))),""),"")</f>
        <v/>
      </c>
      <c r="E5" s="3" t="str">
        <f t="shared" ref="E5:E13" si="0">IFERROR(IF(D5&gt;1,B5,""),"")</f>
        <v/>
      </c>
      <c r="G5" s="1">
        <v>2</v>
      </c>
      <c r="H5" s="4">
        <v>3.5</v>
      </c>
      <c r="I5" s="4" t="s">
        <v>75</v>
      </c>
      <c r="J5" s="4">
        <v>2.4</v>
      </c>
      <c r="K5" s="1" t="s">
        <v>75</v>
      </c>
      <c r="L5" s="4">
        <v>2.5</v>
      </c>
      <c r="M5" s="1" t="s">
        <v>75</v>
      </c>
      <c r="N5" s="4">
        <v>2.2999999999999998</v>
      </c>
      <c r="O5" s="4" t="s">
        <v>75</v>
      </c>
      <c r="P5" s="4">
        <v>2.8</v>
      </c>
    </row>
    <row r="6" spans="1:16" x14ac:dyDescent="0.35">
      <c r="B6" s="3" t="e">
        <f>IF('Coach Card'!$T$5="",IF($B$1="Solo",IF(G5="","",G5),IF($B$1="MSolo",IF(I5="","",I5),IF($B$1="Duet",IF(K5="","",K5),IF($B$1="Mixed",IF(M5="","",M5),IF(O5="","",O5))))),IF($B$1="Solo",IF(G18="","",G18),IF($B$1="MSolo",IF(G18="","",G18),IF($B$1="Duet",IF(I18="","",I18),IF($B$1="Mixed",IF(K18="","",K18),IF(M18="","",M18))))))</f>
        <v>#N/A</v>
      </c>
      <c r="C6" s="3" t="e">
        <f>IF('Coach Card'!$T$5="",IF($B$1="Solo",IF(H5="","",H5),IF($B$1="MSolo",IF(J5="","",J5),IF($B$1="Duet",IF(L5="","",L5),IF($B$1="Mixed",IF(N5="","",N5),IF(P5="","",P5))))),IF($B$1="Solo",IF(H18="","",H18),IF($B$1="MSolo",IF(H18="","",H18),IF($B$1="Duet",IF(J18="","",J18),IF($B$1="Mixed",IF(L18="","",L18),IF(N18="","",N18))))))</f>
        <v>#N/A</v>
      </c>
      <c r="D6" s="3" t="str">
        <f>IFERROR(IF(B6&lt;&gt;"",COUNTIF('Coach Card'!$HI$19:$HI$68,_xlfn.NUMBERVALUE(LEFT(B6,1))),""),"")</f>
        <v/>
      </c>
      <c r="E6" s="3" t="str">
        <f t="shared" si="0"/>
        <v/>
      </c>
      <c r="G6" s="1" t="s">
        <v>81</v>
      </c>
      <c r="H6" s="4">
        <v>3.1</v>
      </c>
      <c r="I6" s="4" t="s">
        <v>76</v>
      </c>
      <c r="J6" s="4">
        <v>1.9</v>
      </c>
      <c r="K6" s="1" t="s">
        <v>76</v>
      </c>
      <c r="L6" s="4">
        <v>2.4</v>
      </c>
      <c r="M6" s="1" t="s">
        <v>76</v>
      </c>
      <c r="N6" s="4">
        <v>2.2000000000000002</v>
      </c>
      <c r="O6" s="4" t="s">
        <v>76</v>
      </c>
      <c r="P6" s="4">
        <v>2.6</v>
      </c>
    </row>
    <row r="7" spans="1:16" x14ac:dyDescent="0.35">
      <c r="B7" s="3" t="e">
        <f>IF('Coach Card'!$T$5="",IF($B$1="Solo",IF(G6="","",G6),IF($B$1="MSolo",IF(I6="","",I6),IF($B$1="Duet",IF(K6="","",K6),IF($B$1="Mixed",IF(M6="","",M6),IF(O6="","",O6))))),IF($B$1="Solo",IF(G19="","",G19),IF($B$1="MSolo",IF(G19="","",G19),IF($B$1="Duet",IF(I19="","",I19),IF($B$1="Mixed",IF(K19="","",K19),IF(M19="","",M19))))))</f>
        <v>#N/A</v>
      </c>
      <c r="C7" s="3" t="e">
        <f>IF('Coach Card'!$T$5="",IF($B$1="Solo",IF(H6="","",H6),IF($B$1="MSolo",IF(J6="","",J6),IF($B$1="Duet",IF(L6="","",L6),IF($B$1="Mixed",IF(N6="","",N6),IF(P6="","",P6))))),IF($B$1="Solo",IF(H19="","",H19),IF($B$1="MSolo",IF(H19="","",H19),IF($B$1="Duet",IF(J19="","",J19),IF($B$1="Mixed",IF(L19="","",L19),IF(N19="","",N19))))))</f>
        <v>#N/A</v>
      </c>
      <c r="D7" s="3" t="str">
        <f>IFERROR(IF(B7&lt;&gt;"",COUNTIF('Coach Card'!$HI$19:$HI$68,_xlfn.NUMBERVALUE(LEFT(B7,1))),""),"")</f>
        <v/>
      </c>
      <c r="E7" s="3" t="str">
        <f t="shared" si="0"/>
        <v/>
      </c>
      <c r="G7" s="1" t="s">
        <v>82</v>
      </c>
      <c r="H7" s="4">
        <v>2.6</v>
      </c>
      <c r="I7" s="4" t="s">
        <v>81</v>
      </c>
      <c r="J7" s="4">
        <v>3.2</v>
      </c>
      <c r="K7" s="1">
        <v>3</v>
      </c>
      <c r="L7" s="4">
        <v>3.6</v>
      </c>
      <c r="M7" s="1" t="s">
        <v>81</v>
      </c>
      <c r="N7" s="4">
        <v>3.2</v>
      </c>
      <c r="O7" s="4" t="s">
        <v>81</v>
      </c>
      <c r="P7" s="4">
        <v>2.1</v>
      </c>
    </row>
    <row r="8" spans="1:16" x14ac:dyDescent="0.35">
      <c r="B8" s="3" t="e">
        <f>IF('Coach Card'!$T$5="",IF($B$1="Solo",IF(G7="","",G7),IF($B$1="MSolo",IF(I7="","",I7),IF($B$1="Duet",IF(K7="","",K7),IF($B$1="Mixed",IF(M7="","",M7),IF(O7="","",O7))))),IF($B$1="Solo",IF(G20="","",G20),IF($B$1="MSolo",IF(G20="","",G20),IF($B$1="Duet",IF(I20="","",I20),IF($B$1="Mixed",IF(K20="","",K20),IF(M20="","",M20))))))</f>
        <v>#N/A</v>
      </c>
      <c r="C8" s="3" t="e">
        <f>IF('Coach Card'!$T$5="",IF($B$1="Solo",IF(H7="","",H7),IF($B$1="MSolo",IF(J7="","",J7),IF($B$1="Duet",IF(L7="","",L7),IF($B$1="Mixed",IF(N7="","",N7),IF(P7="","",P7))))),IF($B$1="Solo",IF(H20="","",H20),IF($B$1="MSolo",IF(H20="","",H20),IF($B$1="Duet",IF(J20="","",J20),IF($B$1="Mixed",IF(L20="","",L20),IF(N20="","",N20))))))</f>
        <v>#N/A</v>
      </c>
      <c r="D8" s="3" t="str">
        <f>IFERROR(IF(B8&lt;&gt;"",COUNTIF('Coach Card'!$HI$19:$HI$68,_xlfn.NUMBERVALUE(LEFT(B8,1))),""),"")</f>
        <v/>
      </c>
      <c r="E8" s="3" t="str">
        <f t="shared" si="0"/>
        <v/>
      </c>
      <c r="G8" s="1" t="s">
        <v>77</v>
      </c>
      <c r="H8" s="4">
        <v>3.6</v>
      </c>
      <c r="I8" s="4" t="s">
        <v>82</v>
      </c>
      <c r="J8" s="4">
        <v>3</v>
      </c>
      <c r="K8" s="1" t="s">
        <v>77</v>
      </c>
      <c r="L8" s="4">
        <v>3.4</v>
      </c>
      <c r="M8" s="1" t="s">
        <v>82</v>
      </c>
      <c r="N8" s="4">
        <v>2.9</v>
      </c>
      <c r="O8" s="4" t="s">
        <v>82</v>
      </c>
      <c r="P8" s="4">
        <v>1.9</v>
      </c>
    </row>
    <row r="9" spans="1:16" x14ac:dyDescent="0.35">
      <c r="B9" s="3" t="e">
        <f>IF('Coach Card'!$T$5="",IF($B$1="Solo",IF(G8="","",G8),IF($B$1="MSolo",IF(I8="","",I8),IF($B$1="Duet",IF(K8="","",K8),IF($B$1="Mixed",IF(M8="","",M8),IF(O8="","",O8))))),IF($B$1="Solo",IF(G21="","",G21),IF($B$1="MSolo",IF(G21="","",G21),IF($B$1="Duet",IF(I21="","",I21),IF($B$1="Mixed",IF(K21="","",K21),IF(M21="","",M21))))))</f>
        <v>#N/A</v>
      </c>
      <c r="C9" s="3" t="e">
        <f>IF('Coach Card'!$T$5="",IF($B$1="Solo",IF(H8="","",H8),IF($B$1="MSolo",IF(J8="","",J8),IF($B$1="Duet",IF(L8="","",L8),IF($B$1="Mixed",IF(N8="","",N8),IF(P8="","",P8))))),IF($B$1="Solo",IF(H21="","",H21),IF($B$1="MSolo",IF(H21="","",H21),IF($B$1="Duet",IF(J21="","",J21),IF($B$1="Mixed",IF(L21="","",L21),IF(N21="","",N21))))))</f>
        <v>#N/A</v>
      </c>
      <c r="D9" s="3" t="str">
        <f>IFERROR(IF(B9&lt;&gt;"",COUNTIF('Coach Card'!$HI$19:$HI$68,_xlfn.NUMBERVALUE(LEFT(B9,1))),""),"")</f>
        <v/>
      </c>
      <c r="E9" s="3" t="str">
        <f t="shared" si="0"/>
        <v/>
      </c>
      <c r="G9" s="1" t="s">
        <v>78</v>
      </c>
      <c r="H9" s="4">
        <v>3.5</v>
      </c>
      <c r="I9" s="4" t="s">
        <v>77</v>
      </c>
      <c r="J9" s="4">
        <v>2.2000000000000002</v>
      </c>
      <c r="K9" s="1" t="s">
        <v>78</v>
      </c>
      <c r="L9" s="4">
        <v>2.9</v>
      </c>
      <c r="M9" s="1"/>
      <c r="N9" s="4"/>
      <c r="O9" s="4" t="s">
        <v>77</v>
      </c>
      <c r="P9" s="4">
        <v>2.4</v>
      </c>
    </row>
    <row r="10" spans="1:16" x14ac:dyDescent="0.35">
      <c r="B10" s="3" t="e">
        <f>IF('Coach Card'!$T$5="",IF($B$1="Solo",IF(G9="","",G9),IF($B$1="MSolo",IF(I9="","",I9),IF($B$1="Duet",IF(K9="","",K9),IF($B$1="Mixed",IF(M9="","",M9),IF(O9="","",O9))))),IF($B$1="Solo",IF(G22="","",G22),IF($B$1="MSolo",IF(G22="","",G22),IF($B$1="Duet",IF(I22="","",I22),IF($B$1="Mixed",IF(K22="","",K22),IF(M22="","",M22))))))</f>
        <v>#N/A</v>
      </c>
      <c r="C10" s="3" t="e">
        <f>IF('Coach Card'!$T$5="",IF($B$1="Solo",IF(H9="","",H9),IF($B$1="MSolo",IF(J9="","",J9),IF($B$1="Duet",IF(L9="","",L9),IF($B$1="Mixed",IF(N9="","",N9),IF(P9="","",P9))))),IF($B$1="Solo",IF(H22="","",H22),IF($B$1="MSolo",IF(H22="","",H22),IF($B$1="Duet",IF(J22="","",J22),IF($B$1="Mixed",IF(L22="","",L22),IF(N22="","",N22))))))</f>
        <v>#N/A</v>
      </c>
      <c r="D10" s="3" t="str">
        <f>IFERROR(IF(B10&lt;&gt;"",COUNTIF('Coach Card'!$HI$19:$HI$68,_xlfn.NUMBERVALUE(LEFT(B10,1))),""),"")</f>
        <v/>
      </c>
      <c r="E10" s="3" t="str">
        <f t="shared" si="0"/>
        <v/>
      </c>
      <c r="G10" s="1" t="s">
        <v>79</v>
      </c>
      <c r="H10" s="4">
        <v>2.5</v>
      </c>
      <c r="I10" s="4" t="s">
        <v>78</v>
      </c>
      <c r="J10" s="4">
        <v>2.1</v>
      </c>
      <c r="K10" s="1" t="s">
        <v>79</v>
      </c>
      <c r="L10" s="4">
        <v>2.7</v>
      </c>
      <c r="M10" s="1"/>
      <c r="N10" s="4"/>
      <c r="O10" s="4" t="s">
        <v>78</v>
      </c>
      <c r="P10" s="4">
        <v>2.2999999999999998</v>
      </c>
    </row>
    <row r="11" spans="1:16" x14ac:dyDescent="0.35">
      <c r="B11" s="3" t="e">
        <f>IF('Coach Card'!$T$5="",IF($B$1="Solo",IF(G10="","",G10),IF($B$1="MSolo",IF(I10="","",I10),IF($B$1="Duet",IF(K10="","",K10),IF($B$1="Mixed",IF(M10="","",M10),IF(O10="","",O10))))),IF($B$1="Solo",IF(G23="","",G23),IF($B$1="MSolo",IF(G23="","",G23),IF($B$1="Duet",IF(I23="","",I23),IF($B$1="Mixed",IF(K23="","",K23),IF(M23="","",M23))))))</f>
        <v>#N/A</v>
      </c>
      <c r="C11" s="3" t="e">
        <f>IF('Coach Card'!$T$5="",IF($B$1="Solo",IF(H10="","",H10),IF($B$1="MSolo",IF(J10="","",J10),IF($B$1="Duet",IF(L10="","",L10),IF($B$1="Mixed",IF(N10="","",N10),IF(P10="","",P10))))),IF($B$1="Solo",IF(H23="","",H23),IF($B$1="MSolo",IF(H23="","",H23),IF($B$1="Duet",IF(J23="","",J23),IF($B$1="Mixed",IF(L23="","",L23),IF(N23="","",N23))))))</f>
        <v>#N/A</v>
      </c>
      <c r="D11" s="3" t="str">
        <f>IFERROR(IF(B11&lt;&gt;"",COUNTIF('Coach Card'!$HI$19:$HI$68,_xlfn.NUMBERVALUE(LEFT(B11,1))),""),"")</f>
        <v/>
      </c>
      <c r="E11" s="3" t="str">
        <f t="shared" si="0"/>
        <v/>
      </c>
      <c r="G11" s="1" t="s">
        <v>80</v>
      </c>
      <c r="H11" s="4">
        <v>2.2000000000000002</v>
      </c>
      <c r="I11" s="4" t="s">
        <v>79</v>
      </c>
      <c r="J11" s="4">
        <v>2.6</v>
      </c>
      <c r="K11" s="1" t="s">
        <v>80</v>
      </c>
      <c r="L11" s="4">
        <v>2.5</v>
      </c>
      <c r="M11" s="1"/>
      <c r="N11" s="4"/>
      <c r="O11" s="4" t="s">
        <v>79</v>
      </c>
      <c r="P11" s="4">
        <v>3.4</v>
      </c>
    </row>
    <row r="12" spans="1:16" x14ac:dyDescent="0.35">
      <c r="B12" s="3" t="e">
        <f>IF('Coach Card'!$T$5="",IF($B$1="Solo",IF(G11="","",G11),IF($B$1="MSolo",IF(I11="","",I11),IF($B$1="Duet",IF(K11="","",K11),IF($B$1="Mixed",IF(M11="","",M11),IF(O11="","",O11))))),IF($B$1="Solo",IF(G24="","",G24),IF($B$1="MSolo",IF(G24="","",G24),IF($B$1="Duet",IF(I24="","",I24),IF($B$1="Mixed",IF(K24="","",K24),IF(M24="","",M24))))))</f>
        <v>#N/A</v>
      </c>
      <c r="C12" s="3" t="e">
        <f>IF('Coach Card'!$T$5="",IF($B$1="Solo",IF(H11="","",H11),IF($B$1="MSolo",IF(J11="","",J11),IF($B$1="Duet",IF(L11="","",L11),IF($B$1="Mixed",IF(N11="","",N11),IF(P11="","",P11))))),IF($B$1="Solo",IF(H24="","",H24),IF($B$1="MSolo",IF(H24="","",H24),IF($B$1="Duet",IF(J24="","",J24),IF($B$1="Mixed",IF(L24="","",L24),IF(N24="","",N24))))))</f>
        <v>#N/A</v>
      </c>
      <c r="D12" s="3" t="str">
        <f>IFERROR(IF(B12&lt;&gt;"",COUNTIF('Coach Card'!$HI$19:$HI$68,_xlfn.NUMBERVALUE(LEFT(B12,1))),""),"")</f>
        <v/>
      </c>
      <c r="E12" s="3" t="str">
        <f t="shared" si="0"/>
        <v/>
      </c>
      <c r="G12" s="1"/>
      <c r="H12" s="1"/>
      <c r="I12" s="4" t="s">
        <v>80</v>
      </c>
      <c r="J12" s="4">
        <v>1.9</v>
      </c>
      <c r="K12" s="1"/>
      <c r="L12" s="1"/>
      <c r="M12" s="1"/>
      <c r="N12" s="1"/>
      <c r="O12" s="4" t="s">
        <v>80</v>
      </c>
      <c r="P12" s="4">
        <v>3.2</v>
      </c>
    </row>
    <row r="13" spans="1:16" x14ac:dyDescent="0.35">
      <c r="B13" s="3" t="e">
        <f>IF('Coach Card'!$T$5="",IF($B$1="Solo",IF(G12="","",G12),IF($B$1="MSolo",IF(I12="","",I12),IF($B$1="Duet",IF(K12="","",K12),IF($B$1="Mixed",IF(M12="","",M12),IF(O12="","",O12))))),IF($B$1="Solo",IF(G25="","",G25),IF($B$1="MSolo",IF(G25="","",G25),IF($B$1="Duet",IF(I25="","",I25),IF($B$1="Mixed",IF(K25="","",K25),IF(M25="","",M25))))))</f>
        <v>#N/A</v>
      </c>
      <c r="C13" s="3" t="e">
        <f>IF('Coach Card'!$T$5="",IF($B$1="Solo",IF(H12="","",H12),IF($B$1="MSolo",IF(J12="","",J12),IF($B$1="Duet",IF(L12="","",L12),IF($B$1="Mixed",IF(N12="","",N12),IF(P12="","",P12))))),IF($B$1="Solo",IF(H25="","",H25),IF($B$1="MSolo",IF(J25="","",J25),IF($B$1="Duet",IF(L25="","",L25),IF($B$1="Mixed",IF(N25="","",N25),IF(P25="","",P25))))))</f>
        <v>#N/A</v>
      </c>
      <c r="D13" s="3" t="str">
        <f>IFERROR(IF(B13&lt;&gt;"",COUNTIF('Coach Card'!$HI$19:$HI$68,_xlfn.NUMBERVALUE(LEFT(B13,1))),""),"")</f>
        <v/>
      </c>
      <c r="E13" s="3" t="str">
        <f t="shared" si="0"/>
        <v/>
      </c>
      <c r="G13">
        <v>2026</v>
      </c>
      <c r="I13" s="4"/>
    </row>
    <row r="14" spans="1:16" x14ac:dyDescent="0.35">
      <c r="G14" s="403" t="s">
        <v>70</v>
      </c>
      <c r="H14" s="403"/>
      <c r="I14" s="403" t="s">
        <v>71</v>
      </c>
      <c r="J14" s="403"/>
      <c r="K14" s="403" t="s">
        <v>72</v>
      </c>
      <c r="L14" s="403"/>
      <c r="M14" s="403" t="s">
        <v>73</v>
      </c>
      <c r="N14" s="403"/>
    </row>
    <row r="15" spans="1:16" x14ac:dyDescent="0.35">
      <c r="G15" t="s">
        <v>67</v>
      </c>
      <c r="H15" t="s">
        <v>68</v>
      </c>
      <c r="I15" t="s">
        <v>67</v>
      </c>
      <c r="J15" t="s">
        <v>68</v>
      </c>
      <c r="K15" t="s">
        <v>67</v>
      </c>
      <c r="L15" t="s">
        <v>68</v>
      </c>
      <c r="M15" t="s">
        <v>67</v>
      </c>
      <c r="N15" t="s">
        <v>68</v>
      </c>
    </row>
    <row r="16" spans="1:16" x14ac:dyDescent="0.35">
      <c r="G16" s="1" t="s">
        <v>69</v>
      </c>
      <c r="H16" s="4">
        <v>2.7</v>
      </c>
      <c r="I16" s="1" t="s">
        <v>69</v>
      </c>
      <c r="J16" s="4">
        <v>3</v>
      </c>
      <c r="K16" s="1" t="s">
        <v>69</v>
      </c>
      <c r="L16" s="4">
        <v>2.7</v>
      </c>
      <c r="M16" s="1" t="s">
        <v>69</v>
      </c>
      <c r="N16" s="4">
        <v>2.5</v>
      </c>
    </row>
    <row r="17" spans="7:14" x14ac:dyDescent="0.35">
      <c r="G17" s="1" t="s">
        <v>74</v>
      </c>
      <c r="H17" s="4">
        <v>2.1</v>
      </c>
      <c r="I17" s="1" t="s">
        <v>74</v>
      </c>
      <c r="J17" s="4">
        <v>2.5</v>
      </c>
      <c r="K17" s="1" t="s">
        <v>74</v>
      </c>
      <c r="L17" s="4">
        <v>2.5</v>
      </c>
      <c r="M17" s="1" t="s">
        <v>74</v>
      </c>
      <c r="N17" s="4">
        <v>2.2999999999999998</v>
      </c>
    </row>
    <row r="18" spans="7:14" x14ac:dyDescent="0.35">
      <c r="G18" s="1" t="s">
        <v>75</v>
      </c>
      <c r="H18" s="4">
        <v>3</v>
      </c>
      <c r="I18" s="1" t="s">
        <v>75</v>
      </c>
      <c r="J18" s="4">
        <v>2.8</v>
      </c>
      <c r="K18" s="1" t="s">
        <v>75</v>
      </c>
      <c r="L18" s="4">
        <v>2.4</v>
      </c>
      <c r="M18" s="1" t="s">
        <v>75</v>
      </c>
      <c r="N18" s="4">
        <v>2.6</v>
      </c>
    </row>
    <row r="19" spans="7:14" x14ac:dyDescent="0.35">
      <c r="G19" s="1" t="s">
        <v>76</v>
      </c>
      <c r="H19" s="4">
        <v>2.7</v>
      </c>
      <c r="I19" s="1" t="s">
        <v>76</v>
      </c>
      <c r="J19" s="4">
        <v>2.4</v>
      </c>
      <c r="K19" s="1" t="s">
        <v>76</v>
      </c>
      <c r="L19" s="4">
        <v>2.2000000000000002</v>
      </c>
      <c r="M19" s="1" t="s">
        <v>76</v>
      </c>
      <c r="N19" s="4">
        <v>2.2999999999999998</v>
      </c>
    </row>
    <row r="20" spans="7:14" x14ac:dyDescent="0.35">
      <c r="G20" s="1">
        <v>3</v>
      </c>
      <c r="H20" s="4">
        <v>3.2</v>
      </c>
      <c r="I20" s="1">
        <v>3</v>
      </c>
      <c r="J20" s="4">
        <v>3.1</v>
      </c>
      <c r="K20" s="1">
        <v>3</v>
      </c>
      <c r="L20" s="4">
        <v>3</v>
      </c>
      <c r="M20" s="1" t="s">
        <v>81</v>
      </c>
      <c r="N20" s="4">
        <v>2.6</v>
      </c>
    </row>
    <row r="21" spans="7:14" x14ac:dyDescent="0.35">
      <c r="G21" s="1" t="s">
        <v>77</v>
      </c>
      <c r="H21" s="4">
        <v>2.9</v>
      </c>
      <c r="I21" s="1" t="s">
        <v>77</v>
      </c>
      <c r="J21" s="4">
        <v>3.2</v>
      </c>
      <c r="K21" s="1"/>
      <c r="L21" s="4"/>
      <c r="M21" s="1" t="s">
        <v>82</v>
      </c>
      <c r="N21" s="4">
        <v>2.2999999999999998</v>
      </c>
    </row>
    <row r="22" spans="7:14" x14ac:dyDescent="0.35">
      <c r="G22" s="1" t="s">
        <v>78</v>
      </c>
      <c r="H22" s="4">
        <v>2.6</v>
      </c>
      <c r="I22" s="1" t="s">
        <v>78</v>
      </c>
      <c r="J22" s="4">
        <v>2.7</v>
      </c>
      <c r="K22" s="1"/>
      <c r="L22" s="4"/>
      <c r="M22" s="1">
        <v>4</v>
      </c>
      <c r="N22" s="4">
        <v>2.9</v>
      </c>
    </row>
    <row r="23" spans="7:14" x14ac:dyDescent="0.35">
      <c r="G23" s="1" t="s">
        <v>79</v>
      </c>
      <c r="H23" s="4">
        <v>2.4</v>
      </c>
      <c r="I23" s="1" t="s">
        <v>79</v>
      </c>
      <c r="J23" s="4">
        <v>2.2999999999999998</v>
      </c>
      <c r="K23" s="1"/>
      <c r="L23" s="4"/>
      <c r="M23" s="1" t="s">
        <v>79</v>
      </c>
      <c r="N23" s="4">
        <v>2.4</v>
      </c>
    </row>
    <row r="24" spans="7:14" x14ac:dyDescent="0.35">
      <c r="G24" s="1" t="s">
        <v>80</v>
      </c>
      <c r="H24" s="4">
        <v>2.1</v>
      </c>
      <c r="I24" s="1" t="s">
        <v>80</v>
      </c>
      <c r="J24" s="4">
        <v>2.1</v>
      </c>
      <c r="K24" s="1"/>
      <c r="L24" s="4"/>
      <c r="M24" s="1" t="s">
        <v>80</v>
      </c>
      <c r="N24" s="4">
        <v>2.1</v>
      </c>
    </row>
  </sheetData>
  <mergeCells count="11">
    <mergeCell ref="O1:P1"/>
    <mergeCell ref="B1:C1"/>
    <mergeCell ref="D1:E1"/>
    <mergeCell ref="G1:H1"/>
    <mergeCell ref="K1:L1"/>
    <mergeCell ref="M1:N1"/>
    <mergeCell ref="G14:H14"/>
    <mergeCell ref="I14:J14"/>
    <mergeCell ref="K14:L14"/>
    <mergeCell ref="M14:N14"/>
    <mergeCell ref="I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109</vt:i4>
      </vt:variant>
    </vt:vector>
  </HeadingPairs>
  <TitlesOfParts>
    <vt:vector size="116" baseType="lpstr">
      <vt:lpstr>Instructions</vt:lpstr>
      <vt:lpstr>Coach Card</vt:lpstr>
      <vt:lpstr>Print</vt:lpstr>
      <vt:lpstr>Data</vt:lpstr>
      <vt:lpstr>AcroDD</vt:lpstr>
      <vt:lpstr>HybridDD</vt:lpstr>
      <vt:lpstr>TREDD</vt:lpstr>
      <vt:lpstr>AcroBonus_A_Code</vt:lpstr>
      <vt:lpstr>AcroBonus_A_Value</vt:lpstr>
      <vt:lpstr>AcroBonus_B_Code</vt:lpstr>
      <vt:lpstr>AcroBonus_B_Value</vt:lpstr>
      <vt:lpstr>AcroBonus_C_Code</vt:lpstr>
      <vt:lpstr>AcroBonus_C_Value</vt:lpstr>
      <vt:lpstr>AcroBonus_P_Code</vt:lpstr>
      <vt:lpstr>AcroBonus_P_Value</vt:lpstr>
      <vt:lpstr>AcroPair_Code</vt:lpstr>
      <vt:lpstr>AcroPair_Value</vt:lpstr>
      <vt:lpstr>Cons_A_Code</vt:lpstr>
      <vt:lpstr>Cons_A_Value</vt:lpstr>
      <vt:lpstr>Cons_B_Code</vt:lpstr>
      <vt:lpstr>Cons_B_Value</vt:lpstr>
      <vt:lpstr>Cons_C_Code</vt:lpstr>
      <vt:lpstr>Cons_C_Value</vt:lpstr>
      <vt:lpstr>Cons_P_Code</vt:lpstr>
      <vt:lpstr>Cons_P_Value</vt:lpstr>
      <vt:lpstr>Conx_A_Code</vt:lpstr>
      <vt:lpstr>Conx_A_Value</vt:lpstr>
      <vt:lpstr>Conx_B_Code</vt:lpstr>
      <vt:lpstr>Conx_B_Value</vt:lpstr>
      <vt:lpstr>Conx_C_Code</vt:lpstr>
      <vt:lpstr>Conx_C_Value</vt:lpstr>
      <vt:lpstr>Conx_P_Code</vt:lpstr>
      <vt:lpstr>Conx_P_Value</vt:lpstr>
      <vt:lpstr>Dirx_A_Code</vt:lpstr>
      <vt:lpstr>Dirx_A_Value</vt:lpstr>
      <vt:lpstr>Dirx_B_Code</vt:lpstr>
      <vt:lpstr>Dirx_B_Value</vt:lpstr>
      <vt:lpstr>Dirx_C_Code</vt:lpstr>
      <vt:lpstr>Dirx_C_Value</vt:lpstr>
      <vt:lpstr>Dirx_P_Code</vt:lpstr>
      <vt:lpstr>Dirx_P_Value</vt:lpstr>
      <vt:lpstr>Hyb_Code</vt:lpstr>
      <vt:lpstr>Hyb_Family</vt:lpstr>
      <vt:lpstr>Hyb_Tech</vt:lpstr>
      <vt:lpstr>Hyb_Tech_Value</vt:lpstr>
      <vt:lpstr>Hybrid_ChoHY</vt:lpstr>
      <vt:lpstr>Hybrid_Mix_Req</vt:lpstr>
      <vt:lpstr>Hybrid_Mix_Req_Value</vt:lpstr>
      <vt:lpstr>HybridBonus_Code</vt:lpstr>
      <vt:lpstr>HybridBonus_Value</vt:lpstr>
      <vt:lpstr>HybridDD_Code</vt:lpstr>
      <vt:lpstr>HybridDD_Value</vt:lpstr>
      <vt:lpstr>Parts_Active</vt:lpstr>
      <vt:lpstr>Pos1_A_Code</vt:lpstr>
      <vt:lpstr>Pos1_A_Value</vt:lpstr>
      <vt:lpstr>Pos1_A_Var</vt:lpstr>
      <vt:lpstr>Pos1_B_Code</vt:lpstr>
      <vt:lpstr>Pos1_B_Value</vt:lpstr>
      <vt:lpstr>Pos1_B_Var</vt:lpstr>
      <vt:lpstr>Pos1_C_Code</vt:lpstr>
      <vt:lpstr>Pos1_C_Value</vt:lpstr>
      <vt:lpstr>Pos1_C_Var</vt:lpstr>
      <vt:lpstr>Pos1_P_Code</vt:lpstr>
      <vt:lpstr>Pos1_P_Value</vt:lpstr>
      <vt:lpstr>Pos1_P_Var</vt:lpstr>
      <vt:lpstr>Pos2_A_Code</vt:lpstr>
      <vt:lpstr>Pos2_A_Value</vt:lpstr>
      <vt:lpstr>Pos2_A_Var</vt:lpstr>
      <vt:lpstr>Pos2_B_Code</vt:lpstr>
      <vt:lpstr>Pos2_B_Value</vt:lpstr>
      <vt:lpstr>Pos2_B_Var</vt:lpstr>
      <vt:lpstr>Pos2_C_Code</vt:lpstr>
      <vt:lpstr>Pos2_C_Value</vt:lpstr>
      <vt:lpstr>Pos2_C_Var</vt:lpstr>
      <vt:lpstr>Pos2_P_Code</vt:lpstr>
      <vt:lpstr>Pos2_P_Value</vt:lpstr>
      <vt:lpstr>Pos2_P_Var</vt:lpstr>
      <vt:lpstr>Requ_App</vt:lpstr>
      <vt:lpstr>Requ_Code</vt:lpstr>
      <vt:lpstr>Requ_Min</vt:lpstr>
      <vt:lpstr>RotB_A_Code</vt:lpstr>
      <vt:lpstr>RotB_A_Value</vt:lpstr>
      <vt:lpstr>RotB_B_Code</vt:lpstr>
      <vt:lpstr>RotB_B_Value</vt:lpstr>
      <vt:lpstr>RotB_C_Code</vt:lpstr>
      <vt:lpstr>RotB_C_Value</vt:lpstr>
      <vt:lpstr>RotB_P_Code</vt:lpstr>
      <vt:lpstr>RotB_P_Value</vt:lpstr>
      <vt:lpstr>RotP_A_Code</vt:lpstr>
      <vt:lpstr>RotP_A_Value</vt:lpstr>
      <vt:lpstr>RotP_B_Code</vt:lpstr>
      <vt:lpstr>RotP_B_Value</vt:lpstr>
      <vt:lpstr>RotP_C_Code</vt:lpstr>
      <vt:lpstr>RotP_C_Value</vt:lpstr>
      <vt:lpstr>RotP_P_Code</vt:lpstr>
      <vt:lpstr>RotP_P_Value</vt:lpstr>
      <vt:lpstr>Team_Acro_P_Chk1</vt:lpstr>
      <vt:lpstr>Team_Acro_P_Chk2</vt:lpstr>
      <vt:lpstr>TeamAcro_A_Pos1</vt:lpstr>
      <vt:lpstr>TeamAcro_A_Pos2</vt:lpstr>
      <vt:lpstr>TeamAcro_B_Cons</vt:lpstr>
      <vt:lpstr>TeamAcro_B_Conx</vt:lpstr>
      <vt:lpstr>TeamAcro_C_Cons</vt:lpstr>
      <vt:lpstr>TeamAcro_P_Bonus</vt:lpstr>
      <vt:lpstr>TeamAcro_P_Bonus1</vt:lpstr>
      <vt:lpstr>TeamAcro_P_Bonus2</vt:lpstr>
      <vt:lpstr>TeamAcro_P_Cons</vt:lpstr>
      <vt:lpstr>TeamAcro_P_Conx</vt:lpstr>
      <vt:lpstr>TeamAcro_P_Pos1</vt:lpstr>
      <vt:lpstr>TeamAcro_P_Pos2</vt:lpstr>
      <vt:lpstr>TRE_check</vt:lpstr>
      <vt:lpstr>TreDD_Code</vt:lpstr>
      <vt:lpstr>TreDD_Value</vt:lpstr>
      <vt:lpstr>AcroDD!Zone_d_impression</vt:lpstr>
      <vt:lpstr>'Coach Card'!Zone_d_impression</vt:lpstr>
      <vt:lpstr>Print!Zone_d_impression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Röhss</dc:creator>
  <cp:lastModifiedBy>Claire Parez</cp:lastModifiedBy>
  <cp:lastPrinted>2026-10-03T08:43:27Z</cp:lastPrinted>
  <dcterms:created xsi:type="dcterms:W3CDTF">2022-07-23T14:14:56Z</dcterms:created>
  <dcterms:modified xsi:type="dcterms:W3CDTF">2026-10-27T09:07:07Z</dcterms:modified>
</cp:coreProperties>
</file>